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firstSheet="7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G23" i="6" l="1"/>
  <c r="G27" i="9"/>
  <c r="G27" i="8"/>
  <c r="G27" i="7"/>
  <c r="G24" i="7"/>
  <c r="G23" i="9"/>
  <c r="G23" i="11"/>
  <c r="G23" i="8"/>
  <c r="G8" i="7"/>
  <c r="G23" i="7" s="1"/>
  <c r="G22" i="7"/>
  <c r="G21" i="7"/>
  <c r="G20" i="11"/>
  <c r="G20" i="7"/>
  <c r="G19" i="11"/>
  <c r="G19" i="8"/>
  <c r="G19" i="7"/>
  <c r="G18" i="11"/>
  <c r="G18" i="7"/>
  <c r="G16" i="11"/>
  <c r="G16" i="7"/>
  <c r="G15" i="7"/>
  <c r="G13" i="7"/>
  <c r="G11" i="7"/>
  <c r="G10" i="7"/>
  <c r="G9" i="7"/>
  <c r="G7" i="9"/>
  <c r="G7" i="7"/>
  <c r="G5" i="11"/>
  <c r="G5" i="7"/>
  <c r="G27" i="4"/>
  <c r="G24" i="2"/>
  <c r="G24" i="4"/>
  <c r="G23" i="4"/>
  <c r="G21" i="4"/>
  <c r="G20" i="4"/>
  <c r="G18" i="4"/>
  <c r="G16" i="4"/>
  <c r="G12" i="4"/>
  <c r="G11" i="4"/>
  <c r="G10" i="4"/>
  <c r="G9" i="4"/>
  <c r="G7" i="4"/>
  <c r="G6" i="4"/>
  <c r="G27" i="2"/>
  <c r="G23" i="2"/>
  <c r="G22" i="2"/>
  <c r="G21" i="2"/>
  <c r="G20" i="2"/>
  <c r="G18" i="2"/>
  <c r="G16" i="2"/>
  <c r="G15" i="2"/>
  <c r="G13" i="2"/>
  <c r="G12" i="2"/>
  <c r="G11" i="2"/>
  <c r="G9" i="2"/>
  <c r="G8" i="2"/>
  <c r="G7" i="2"/>
  <c r="G6" i="2"/>
  <c r="G5" i="2"/>
  <c r="F24" i="2" l="1"/>
  <c r="F17" i="11" l="1"/>
  <c r="F17" i="7"/>
  <c r="F17" i="2"/>
  <c r="F23" i="6" l="1"/>
  <c r="F27" i="8"/>
  <c r="F23" i="8"/>
  <c r="F27" i="11"/>
  <c r="F23" i="11"/>
  <c r="F23" i="9"/>
  <c r="F24" i="7"/>
  <c r="F23" i="7"/>
  <c r="F27" i="7" s="1"/>
  <c r="F21" i="9"/>
  <c r="F21" i="11"/>
  <c r="F21" i="7"/>
  <c r="F20" i="7"/>
  <c r="F18" i="11"/>
  <c r="F18" i="9"/>
  <c r="F18" i="7"/>
  <c r="F16" i="7"/>
  <c r="F15" i="7"/>
  <c r="F13" i="7"/>
  <c r="F13" i="11"/>
  <c r="F12" i="11"/>
  <c r="F12" i="7"/>
  <c r="F11" i="7"/>
  <c r="F9" i="7"/>
  <c r="F8" i="7"/>
  <c r="F7" i="7"/>
  <c r="F5" i="8"/>
  <c r="F5" i="7"/>
  <c r="F24" i="4"/>
  <c r="F23" i="4"/>
  <c r="F27" i="4" s="1"/>
  <c r="F21" i="4"/>
  <c r="F16" i="4"/>
  <c r="F15" i="4"/>
  <c r="F12" i="4"/>
  <c r="F11" i="4"/>
  <c r="F9" i="4"/>
  <c r="F8" i="4"/>
  <c r="F7" i="4"/>
  <c r="F6" i="4"/>
  <c r="F5" i="4"/>
  <c r="F23" i="2"/>
  <c r="F27" i="2" s="1"/>
  <c r="F22" i="2"/>
  <c r="F21" i="2"/>
  <c r="F20" i="2"/>
  <c r="F15" i="2"/>
  <c r="F13" i="2"/>
  <c r="F12" i="2"/>
  <c r="F11" i="2"/>
  <c r="F10" i="2"/>
  <c r="F9" i="2"/>
  <c r="F8" i="2"/>
  <c r="F6" i="2"/>
  <c r="F5" i="2"/>
  <c r="D23" i="12" l="1"/>
  <c r="E23" i="9"/>
  <c r="D23" i="9"/>
  <c r="E27" i="11"/>
  <c r="E23" i="11"/>
  <c r="D23" i="11"/>
  <c r="E23" i="8"/>
  <c r="D23" i="8"/>
  <c r="E27" i="7"/>
  <c r="D27" i="7"/>
  <c r="E23" i="7"/>
  <c r="E23" i="6" l="1"/>
  <c r="E16" i="6"/>
  <c r="E27" i="4"/>
  <c r="E23" i="4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3" i="2" s="1"/>
  <c r="E27" i="2" s="1"/>
  <c r="O23" i="12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3" i="6" l="1"/>
  <c r="D20" i="6"/>
  <c r="D23" i="7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7" i="4"/>
  <c r="D24" i="4"/>
  <c r="D23" i="4"/>
  <c r="D22" i="4"/>
  <c r="D21" i="4"/>
  <c r="D16" i="4"/>
  <c r="D15" i="4"/>
  <c r="D13" i="4"/>
  <c r="D13" i="2"/>
  <c r="D23" i="2" s="1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6" i="13" l="1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J27" i="13" s="1"/>
  <c r="I24" i="14"/>
  <c r="I23" i="13"/>
  <c r="I27" i="13" s="1"/>
  <c r="K27" i="13" l="1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H27" i="11"/>
  <c r="G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C26" i="14"/>
  <c r="C2" i="14"/>
  <c r="H26" i="13"/>
  <c r="G26" i="13"/>
  <c r="F26" i="13"/>
  <c r="E26" i="13"/>
  <c r="O19" i="13"/>
  <c r="O13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O24" i="14" l="1"/>
  <c r="O25" i="14"/>
  <c r="E23" i="13"/>
  <c r="E27" i="13" s="1"/>
  <c r="D26" i="14"/>
  <c r="O26" i="14" s="1"/>
  <c r="O25" i="13"/>
  <c r="N27" i="12"/>
  <c r="O20" i="13"/>
  <c r="O7" i="13"/>
  <c r="O15" i="13"/>
  <c r="O26" i="2"/>
  <c r="O26" i="8"/>
  <c r="O26" i="11"/>
  <c r="O18" i="13"/>
  <c r="O22" i="13"/>
  <c r="D26" i="13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12" i="3"/>
  <c r="P21" i="3"/>
  <c r="P19" i="3"/>
  <c r="P24" i="3"/>
  <c r="P23" i="3"/>
  <c r="O18" i="14" l="1"/>
  <c r="O13" i="14"/>
  <c r="O11" i="14"/>
  <c r="O9" i="14"/>
  <c r="P26" i="4"/>
  <c r="O10" i="14"/>
  <c r="O14" i="14"/>
  <c r="O15" i="14"/>
  <c r="O19" i="14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O23" i="2"/>
  <c r="P13" i="2" s="1"/>
  <c r="P10" i="2" l="1"/>
  <c r="P7" i="2"/>
  <c r="P9" i="2"/>
  <c r="P19" i="2"/>
  <c r="P21" i="2"/>
  <c r="P16" i="2"/>
  <c r="P12" i="2"/>
  <c r="P20" i="2"/>
  <c r="P25" i="2"/>
  <c r="P5" i="2"/>
  <c r="P24" i="2"/>
  <c r="P11" i="2"/>
  <c r="P14" i="2"/>
  <c r="P22" i="2"/>
  <c r="P8" i="2"/>
  <c r="P23" i="2"/>
  <c r="P6" i="2"/>
  <c r="P26" i="2"/>
  <c r="P18" i="2"/>
  <c r="P27" i="2"/>
  <c r="P15" i="2"/>
  <c r="P17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<sst xmlns="http://schemas.openxmlformats.org/spreadsheetml/2006/main" count="734" uniqueCount="86">
  <si>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</si>
  <si>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</si>
  <si>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</si>
  <si>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</si>
  <si>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</si>
  <si>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</si>
  <si>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</si>
  <si>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</si>
  <si>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</si>
  <si>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</si>
  <si>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</si>
  <si>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</si>
  <si>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</si>
  <si>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</si>
  <si>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</si>
  <si>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</si>
  <si>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</si>
  <si>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</si>
  <si>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</si>
  <si>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</si>
  <si>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</si>
  <si>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</si>
  <si>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</si>
  <si>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</si>
  <si>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</si>
  <si>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</si>
  <si>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</si>
  <si>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</si>
  <si>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</si>
  <si>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</si>
  <si>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</si>
  <si>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</si>
  <si>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</si>
  <si>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</si>
  <si>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</si>
  <si>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</si>
  <si>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</si>
  <si>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</si>
  <si>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</si>
  <si>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</si>
  <si>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</si>
  <si>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</si>
  <si>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</si>
  <si>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</si>
  <si>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</si>
  <si>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</si>
  <si>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</si>
  <si>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</si>
  <si>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</si>
  <si>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</si>
  <si>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</si>
  <si>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</si>
  <si>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</si>
  <si>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</si>
  <si>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</si>
  <si>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</si>
  <si>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</si>
  <si>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</si>
  <si>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</si>
  <si>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</si>
  <si>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</si>
  <si>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</si>
  <si>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</si>
  <si>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</si>
  <si>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</si>
  <si>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</si>
  <si>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</si>
  <si>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</si>
  <si>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</si>
  <si>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</si>
  <si>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</si>
  <si>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</si>
  <si>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</si>
  <si>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</si>
  <si>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</si>
  <si>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</si>
  <si>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</si>
  <si>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</si>
  <si>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</si>
  <si>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</si>
  <si>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</si>
  <si>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</si>
  <si>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</si>
  <si>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</si>
  <si>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</si>
  <si>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28/2/62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</si>
</sst>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190" fontId="13" fillId="4" borderId="1" xfId="0" applyNumberFormat="1" applyFont="1" applyFill="1" applyBorder="1" applyAlignment="1">
      <alignment horizontal="right" vertical="center" shrinkToFit="1"/>
    </xf>
    <xf numFmtId="191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85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241851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2077338.58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2678508.0499999998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2678508.0499999998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28/2/62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5" t="s">
        <v>49</v>
      </c>
      <c r="M29" s="365"/>
      <c r="N29" s="365"/>
      <c r="O29" s="314"/>
      <c r="P29" s="360"/>
    </row>
    <row r="30" spans="1:16" s="115" customFormat="1" ht="18" customHeight="1" x14ac:dyDescent="0.45">
      <c r="A30" s="258"/>
      <c r="B30" s="260"/>
      <c r="G30" s="365" t="s">
        <v>80</v>
      </c>
      <c r="H30" s="365"/>
      <c r="I30" s="365"/>
      <c r="J30" s="121"/>
      <c r="K30" s="121"/>
      <c r="L30" s="365"/>
      <c r="M30" s="365"/>
      <c r="N30" s="365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="112" zoomScaleNormal="112" workbookViewId="0">
      <selection activeCell="G28" sqref="G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28/2/62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>
        <f>11524.35-3900-1080+1391+1391</f>
        <v>9326.35</v>
      </c>
      <c r="G5" s="36">
        <f>10354.78-432-440-314.88+996</f>
        <v>10163.900000000001</v>
      </c>
      <c r="H5" s="36"/>
      <c r="I5" s="36"/>
      <c r="J5" s="36"/>
      <c r="K5" s="36"/>
      <c r="L5" s="36"/>
      <c r="M5" s="36"/>
      <c r="N5" s="36"/>
      <c r="O5" s="299">
        <f>SUM(C5:N5)</f>
        <v>50100.710000000006</v>
      </c>
      <c r="P5" s="290">
        <f t="shared" ref="P5:P27" si="0">O5/$O$23</f>
        <v>0.14953102221908321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>
        <v>7336.14</v>
      </c>
      <c r="G6" s="36">
        <v>3744.7</v>
      </c>
      <c r="H6" s="36"/>
      <c r="I6" s="36"/>
      <c r="J6" s="36"/>
      <c r="K6" s="36"/>
      <c r="L6" s="36"/>
      <c r="M6" s="36"/>
      <c r="N6" s="36"/>
      <c r="O6" s="299">
        <f t="shared" ref="O6:O27" si="1">SUM(C6:N6)</f>
        <v>23368.65</v>
      </c>
      <c r="P6" s="290">
        <f t="shared" si="0"/>
        <v>6.9746279491447891E-2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>
        <f>3242.6105+695+492.2</f>
        <v>4429.8104999999996</v>
      </c>
      <c r="G7" s="36">
        <f>1144.9+6899.76-79.18-550-135</f>
        <v>7280.48</v>
      </c>
      <c r="H7" s="36"/>
      <c r="I7" s="36"/>
      <c r="J7" s="36"/>
      <c r="K7" s="36"/>
      <c r="L7" s="36"/>
      <c r="M7" s="36"/>
      <c r="N7" s="36"/>
      <c r="O7" s="299">
        <f t="shared" si="1"/>
        <v>20441.250500000002</v>
      </c>
      <c r="P7" s="290">
        <f t="shared" si="0"/>
        <v>6.1009137050180441E-2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>
        <f>868.67+160.6</f>
        <v>1029.27</v>
      </c>
      <c r="G8" s="36">
        <f>179+74.9+1498+1027+330+240.75</f>
        <v>3349.65</v>
      </c>
      <c r="H8" s="36"/>
      <c r="I8" s="36"/>
      <c r="J8" s="36"/>
      <c r="K8" s="36"/>
      <c r="L8" s="36"/>
      <c r="M8" s="36"/>
      <c r="N8" s="36"/>
      <c r="O8" s="299">
        <f t="shared" si="1"/>
        <v>16357.550000000001</v>
      </c>
      <c r="P8" s="290">
        <f t="shared" si="0"/>
        <v>4.8820888416546679E-2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>
        <f>2506.4+2435.7+856-395+695+347.75</f>
        <v>6445.85</v>
      </c>
      <c r="G9" s="36">
        <f>3822.28-314.88+35+35+70+44+48.15+48.15</f>
        <v>3787.7000000000003</v>
      </c>
      <c r="H9" s="36"/>
      <c r="I9" s="36"/>
      <c r="J9" s="36"/>
      <c r="K9" s="36"/>
      <c r="L9" s="36"/>
      <c r="M9" s="36"/>
      <c r="N9" s="36"/>
      <c r="O9" s="299">
        <f t="shared" si="1"/>
        <v>25069.9</v>
      </c>
      <c r="P9" s="290">
        <f t="shared" si="0"/>
        <v>7.4823845289421917E-2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>
        <v>2677.75</v>
      </c>
      <c r="G10" s="36">
        <f>1940.2+240.75+230.05+230.05</f>
        <v>2641.05</v>
      </c>
      <c r="H10" s="36"/>
      <c r="I10" s="36"/>
      <c r="J10" s="36"/>
      <c r="K10" s="36"/>
      <c r="L10" s="36"/>
      <c r="M10" s="36"/>
      <c r="N10" s="36"/>
      <c r="O10" s="299">
        <f t="shared" si="1"/>
        <v>18101.43</v>
      </c>
      <c r="P10" s="290">
        <f t="shared" si="0"/>
        <v>5.4025688089593522E-2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>
        <f>879.6+695</f>
        <v>1574.6</v>
      </c>
      <c r="G11" s="36">
        <f>3739.8+856-2520+1400</f>
        <v>3475.8</v>
      </c>
      <c r="H11" s="36"/>
      <c r="I11" s="36"/>
      <c r="J11" s="36"/>
      <c r="K11" s="36"/>
      <c r="L11" s="36"/>
      <c r="M11" s="36"/>
      <c r="N11" s="36"/>
      <c r="O11" s="299">
        <f t="shared" si="1"/>
        <v>9685.61</v>
      </c>
      <c r="P11" s="290">
        <f t="shared" si="0"/>
        <v>2.8907757277598947E-2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>
        <f>900+3617-275-160</f>
        <v>4082</v>
      </c>
      <c r="G12" s="36">
        <v>0</v>
      </c>
      <c r="H12" s="36"/>
      <c r="I12" s="36"/>
      <c r="J12" s="36"/>
      <c r="K12" s="36"/>
      <c r="L12" s="36"/>
      <c r="M12" s="36"/>
      <c r="N12" s="36"/>
      <c r="O12" s="299">
        <f t="shared" si="1"/>
        <v>14022.63</v>
      </c>
      <c r="P12" s="290">
        <f t="shared" si="0"/>
        <v>4.1852065531605885E-2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>
        <f>6729.8+700+150+500-5040-1050+3746.68-324-104.96-210</f>
        <v>5097.5199999999995</v>
      </c>
      <c r="G13" s="36">
        <f>3615.26+199.2+1230+22-1008+849.15</f>
        <v>4907.6099999999997</v>
      </c>
      <c r="H13" s="36"/>
      <c r="I13" s="36"/>
      <c r="J13" s="36"/>
      <c r="K13" s="36"/>
      <c r="L13" s="36"/>
      <c r="M13" s="36"/>
      <c r="N13" s="36"/>
      <c r="O13" s="299">
        <f t="shared" si="1"/>
        <v>22387.45</v>
      </c>
      <c r="P13" s="290">
        <f t="shared" si="0"/>
        <v>6.6817781292492939E-2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>
        <v>2524.6</v>
      </c>
      <c r="G14" s="36">
        <v>0</v>
      </c>
      <c r="H14" s="36"/>
      <c r="I14" s="36"/>
      <c r="J14" s="36"/>
      <c r="K14" s="36"/>
      <c r="L14" s="36"/>
      <c r="M14" s="36"/>
      <c r="N14" s="36"/>
      <c r="O14" s="299">
        <f t="shared" si="1"/>
        <v>10574.060000000001</v>
      </c>
      <c r="P14" s="290">
        <f t="shared" si="0"/>
        <v>3.1559433006157378E-2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>
        <f>2865.5-900+494.12+2876.02</f>
        <v>5335.6399999999994</v>
      </c>
      <c r="G15" s="36">
        <f>330+1712+1230</f>
        <v>3272</v>
      </c>
      <c r="H15" s="36"/>
      <c r="I15" s="36"/>
      <c r="J15" s="36"/>
      <c r="K15" s="36"/>
      <c r="L15" s="36"/>
      <c r="M15" s="36"/>
      <c r="N15" s="36"/>
      <c r="O15" s="299">
        <f t="shared" si="1"/>
        <v>17777.25</v>
      </c>
      <c r="P15" s="290">
        <f t="shared" si="0"/>
        <v>5.305813759414181E-2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>
        <f>1169.81-79.18-104.96-105</f>
        <v>880.66999999999985</v>
      </c>
      <c r="G16" s="36">
        <f>2603.34-216-175+90+90+700</f>
        <v>3092.34</v>
      </c>
      <c r="H16" s="36"/>
      <c r="I16" s="36"/>
      <c r="J16" s="36"/>
      <c r="K16" s="36"/>
      <c r="L16" s="36"/>
      <c r="M16" s="36"/>
      <c r="N16" s="36"/>
      <c r="O16" s="299">
        <f t="shared" si="1"/>
        <v>10278.030000000001</v>
      </c>
      <c r="P16" s="290">
        <f t="shared" si="0"/>
        <v>3.067589924969933E-2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>
        <f>8131.33-79.18-1050-320</f>
        <v>6682.15</v>
      </c>
      <c r="G17" s="36">
        <v>0</v>
      </c>
      <c r="H17" s="36"/>
      <c r="I17" s="36"/>
      <c r="J17" s="36"/>
      <c r="K17" s="36"/>
      <c r="L17" s="36"/>
      <c r="M17" s="36"/>
      <c r="N17" s="36"/>
      <c r="O17" s="299">
        <f t="shared" si="1"/>
        <v>11651.31</v>
      </c>
      <c r="P17" s="290">
        <f t="shared" si="0"/>
        <v>3.4774602884698164E-2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>
        <f>5263.94-1008-79.18-350-104.96-210-320</f>
        <v>3191.7999999999993</v>
      </c>
      <c r="G18" s="36">
        <f>1600.87-350-55</f>
        <v>1195.8699999999999</v>
      </c>
      <c r="H18" s="36"/>
      <c r="I18" s="36"/>
      <c r="J18" s="36"/>
      <c r="K18" s="36"/>
      <c r="L18" s="36"/>
      <c r="M18" s="36"/>
      <c r="N18" s="36"/>
      <c r="O18" s="299">
        <f t="shared" si="1"/>
        <v>12285.46</v>
      </c>
      <c r="P18" s="290">
        <f t="shared" si="0"/>
        <v>3.6667292583910639E-2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>
        <v>4034.4</v>
      </c>
      <c r="G19" s="36">
        <f>800+90+235.4+390</f>
        <v>1515.4</v>
      </c>
      <c r="H19" s="36"/>
      <c r="I19" s="36"/>
      <c r="J19" s="36"/>
      <c r="K19" s="36"/>
      <c r="L19" s="36"/>
      <c r="M19" s="36"/>
      <c r="N19" s="36"/>
      <c r="O19" s="299">
        <f t="shared" si="1"/>
        <v>26546.54</v>
      </c>
      <c r="P19" s="290">
        <f t="shared" si="0"/>
        <v>7.9231038094665335E-2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>
        <f>3460.6-210+450+1000</f>
        <v>4700.6000000000004</v>
      </c>
      <c r="G20" s="36">
        <f>330+1186.32</f>
        <v>1516.32</v>
      </c>
      <c r="H20" s="36"/>
      <c r="I20" s="36"/>
      <c r="J20" s="36"/>
      <c r="K20" s="36"/>
      <c r="L20" s="36"/>
      <c r="M20" s="36"/>
      <c r="N20" s="36"/>
      <c r="O20" s="299">
        <f t="shared" si="1"/>
        <v>9527.5300000000007</v>
      </c>
      <c r="P20" s="290">
        <f t="shared" si="0"/>
        <v>2.843595031134253E-2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>
        <f>2496.9+450+1317.48+370+498+92.02+498+680</f>
        <v>6402.4000000000005</v>
      </c>
      <c r="G21" s="36">
        <f>4865.43+498</f>
        <v>5363.43</v>
      </c>
      <c r="H21" s="36"/>
      <c r="I21" s="36"/>
      <c r="J21" s="36"/>
      <c r="K21" s="36"/>
      <c r="L21" s="36"/>
      <c r="M21" s="36"/>
      <c r="N21" s="36"/>
      <c r="O21" s="299">
        <f t="shared" si="1"/>
        <v>22313.34</v>
      </c>
      <c r="P21" s="290">
        <f t="shared" si="0"/>
        <v>6.6596591930971796E-2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>
        <v>512.75</v>
      </c>
      <c r="G22" s="36">
        <f>99+246.1</f>
        <v>345.1</v>
      </c>
      <c r="H22" s="36"/>
      <c r="I22" s="36"/>
      <c r="J22" s="36"/>
      <c r="K22" s="36"/>
      <c r="L22" s="36"/>
      <c r="M22" s="36"/>
      <c r="N22" s="36"/>
      <c r="O22" s="299">
        <f t="shared" si="1"/>
        <v>4785.88</v>
      </c>
      <c r="P22" s="290">
        <f t="shared" si="0"/>
        <v>1.4283979780283869E-2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>
        <f>D5+D6+D7+D8+D9+D10+D11+D12+D13+D14+D15+D16+D17+D18+D19+D20+D21+D22</f>
        <v>64492.159999999996</v>
      </c>
      <c r="E23" s="42">
        <f>E5+E6+E7+E8+E9+E9+E10+E11+E12+E13+E14+E15+E16+E17+E18+E19+E20+E21+E22</f>
        <v>81639.739999999991</v>
      </c>
      <c r="F23" s="42">
        <f>F5+F6+F7+F8+F9+F10+F11+F12+F13+F14+F15+F16+F17+F18+F19+F20+F21+F22</f>
        <v>76264.300499999983</v>
      </c>
      <c r="G23" s="42">
        <f>G5+G6+G7+G8+G9+G10+G11+G12+G13+G14+G15+G15+G16+G17+G18+G19+G20+G21+G22</f>
        <v>58923.350000000013</v>
      </c>
      <c r="H23" s="42"/>
      <c r="I23" s="42"/>
      <c r="J23" s="42"/>
      <c r="K23" s="42"/>
      <c r="L23" s="42"/>
      <c r="M23" s="42"/>
      <c r="N23" s="42"/>
      <c r="O23" s="54">
        <f t="shared" si="1"/>
        <v>335052.28050000005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>
        <f>1600+650+1391+29489.18+126-330-330</f>
        <v>32596.18</v>
      </c>
      <c r="G24" s="36">
        <f>26564.53</f>
        <v>26564.53</v>
      </c>
      <c r="H24" s="36"/>
      <c r="I24" s="36"/>
      <c r="J24" s="36"/>
      <c r="K24" s="36"/>
      <c r="L24" s="36"/>
      <c r="M24" s="36"/>
      <c r="N24" s="36"/>
      <c r="O24" s="299">
        <f t="shared" si="1"/>
        <v>109101.04999999999</v>
      </c>
      <c r="P24" s="290">
        <f t="shared" si="0"/>
        <v>0.32562395885557915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>
        <f>E23+E19</f>
        <v>90170.239999999991</v>
      </c>
      <c r="E27" s="282">
        <f>E23+E19</f>
        <v>90170.239999999991</v>
      </c>
      <c r="F27" s="362">
        <f>F24+F23</f>
        <v>108860.48049999998</v>
      </c>
      <c r="G27" s="282">
        <f>G24+G23</f>
        <v>85487.88</v>
      </c>
      <c r="H27" s="282"/>
      <c r="I27" s="282"/>
      <c r="J27" s="282"/>
      <c r="K27" s="282"/>
      <c r="L27" s="282"/>
      <c r="M27" s="282"/>
      <c r="N27" s="282"/>
      <c r="O27" s="283">
        <f t="shared" si="1"/>
        <v>445634.22049999994</v>
      </c>
      <c r="P27" s="293">
        <f t="shared" si="0"/>
        <v>1.3300438362484146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6" zoomScaleNormal="100" workbookViewId="0">
      <selection activeCell="G28" sqref="G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28/2/62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>
        <f>3900+380</f>
        <v>4280</v>
      </c>
      <c r="G5" s="36">
        <v>0</v>
      </c>
      <c r="H5" s="36"/>
      <c r="I5" s="36"/>
      <c r="J5" s="36"/>
      <c r="K5" s="36"/>
      <c r="L5" s="36"/>
      <c r="M5" s="36"/>
      <c r="N5" s="36"/>
      <c r="O5" s="271">
        <f>SUM(C5:N5)</f>
        <v>8180</v>
      </c>
      <c r="P5" s="290">
        <f t="shared" ref="P5:P27" si="0">O5/$O$23</f>
        <v>0.32050779719457723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>
        <v>1560</v>
      </c>
      <c r="G6" s="36">
        <v>1750</v>
      </c>
      <c r="H6" s="36"/>
      <c r="I6" s="36"/>
      <c r="J6" s="36"/>
      <c r="K6" s="36"/>
      <c r="L6" s="36"/>
      <c r="M6" s="36"/>
      <c r="N6" s="36"/>
      <c r="O6" s="271">
        <f t="shared" ref="O6:O27" si="1">SUM(C6:N6)</f>
        <v>5650</v>
      </c>
      <c r="P6" s="290">
        <f t="shared" si="0"/>
        <v>0.22137763498158453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>
        <v>0</v>
      </c>
      <c r="G7" s="36">
        <v>1100</v>
      </c>
      <c r="H7" s="36"/>
      <c r="I7" s="36"/>
      <c r="J7" s="36"/>
      <c r="K7" s="36"/>
      <c r="L7" s="36"/>
      <c r="M7" s="36"/>
      <c r="N7" s="36"/>
      <c r="O7" s="271">
        <f t="shared" si="1"/>
        <v>3340</v>
      </c>
      <c r="P7" s="290">
        <f t="shared" si="0"/>
        <v>0.13086748687406943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>
        <v>0</v>
      </c>
      <c r="G8" s="36">
        <v>780</v>
      </c>
      <c r="H8" s="36"/>
      <c r="I8" s="36"/>
      <c r="J8" s="36"/>
      <c r="K8" s="36"/>
      <c r="L8" s="36"/>
      <c r="M8" s="36"/>
      <c r="N8" s="36"/>
      <c r="O8" s="271">
        <f t="shared" si="1"/>
        <v>2340</v>
      </c>
      <c r="P8" s="290">
        <f t="shared" si="0"/>
        <v>9.1685604576443855E-2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71">
        <f t="shared" si="1"/>
        <v>1320</v>
      </c>
      <c r="P10" s="290">
        <f t="shared" si="0"/>
        <v>5.1720084632865766E-2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/>
      <c r="I11" s="36"/>
      <c r="J11" s="36"/>
      <c r="K11" s="36"/>
      <c r="L11" s="36"/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>
        <v>900</v>
      </c>
      <c r="G15" s="36">
        <v>0</v>
      </c>
      <c r="H15" s="36"/>
      <c r="I15" s="36"/>
      <c r="J15" s="36"/>
      <c r="K15" s="36"/>
      <c r="L15" s="36"/>
      <c r="M15" s="36"/>
      <c r="N15" s="36"/>
      <c r="O15" s="271">
        <f t="shared" si="1"/>
        <v>2250</v>
      </c>
      <c r="P15" s="290">
        <f t="shared" si="0"/>
        <v>8.8159235169657554E-2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71">
        <f t="shared" si="1"/>
        <v>450</v>
      </c>
      <c r="P18" s="290">
        <f t="shared" si="0"/>
        <v>1.7631847033931509E-2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f>1350</f>
        <v>1350</v>
      </c>
      <c r="H19" s="36"/>
      <c r="I19" s="36"/>
      <c r="J19" s="36"/>
      <c r="K19" s="36"/>
      <c r="L19" s="36"/>
      <c r="M19" s="36"/>
      <c r="N19" s="36"/>
      <c r="O19" s="271">
        <f t="shared" si="1"/>
        <v>1350</v>
      </c>
      <c r="P19" s="290">
        <f t="shared" si="0"/>
        <v>5.2895541101794528E-2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71">
        <f t="shared" si="1"/>
        <v>450</v>
      </c>
      <c r="P20" s="290">
        <f t="shared" si="0"/>
        <v>1.7631847033931509E-2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71">
        <f t="shared" si="1"/>
        <v>192</v>
      </c>
      <c r="P22" s="290">
        <f t="shared" si="0"/>
        <v>7.5229214011441111E-3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>
        <f>D6+D7+D15+D18</f>
        <v>3020</v>
      </c>
      <c r="E23" s="42">
        <f>E20+E22</f>
        <v>642</v>
      </c>
      <c r="F23" s="42">
        <f>F5+F6+F15</f>
        <v>6740</v>
      </c>
      <c r="G23" s="42">
        <f>G19+G8+G7+G6</f>
        <v>4980</v>
      </c>
      <c r="H23" s="42"/>
      <c r="I23" s="42"/>
      <c r="J23" s="42"/>
      <c r="K23" s="42"/>
      <c r="L23" s="42"/>
      <c r="M23" s="42"/>
      <c r="N23" s="42"/>
      <c r="O23" s="54">
        <f t="shared" si="1"/>
        <v>25522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10000</v>
      </c>
      <c r="G24" s="36">
        <v>0</v>
      </c>
      <c r="H24" s="36"/>
      <c r="I24" s="36"/>
      <c r="J24" s="36"/>
      <c r="K24" s="36"/>
      <c r="L24" s="36"/>
      <c r="M24" s="36"/>
      <c r="N24" s="36"/>
      <c r="O24" s="271">
        <f t="shared" si="1"/>
        <v>10000</v>
      </c>
      <c r="P24" s="290">
        <f t="shared" si="0"/>
        <v>0.39181882297625575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>
        <v>3020</v>
      </c>
      <c r="E27" s="282">
        <v>642</v>
      </c>
      <c r="F27" s="282">
        <f>F23+F24</f>
        <v>16740</v>
      </c>
      <c r="G27" s="282">
        <f>G23+G24</f>
        <v>4980</v>
      </c>
      <c r="H27" s="282"/>
      <c r="I27" s="282"/>
      <c r="J27" s="282"/>
      <c r="K27" s="282"/>
      <c r="L27" s="282"/>
      <c r="M27" s="282"/>
      <c r="N27" s="282"/>
      <c r="O27" s="283">
        <f t="shared" si="1"/>
        <v>35522</v>
      </c>
      <c r="P27" s="293">
        <f t="shared" si="0"/>
        <v>1.3918188229762558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0" zoomScaleNormal="100" workbookViewId="0">
      <selection activeCell="G25" sqref="G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28/2/62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>
        <v>1080</v>
      </c>
      <c r="G5" s="36">
        <f>432+440</f>
        <v>872</v>
      </c>
      <c r="H5" s="36"/>
      <c r="I5" s="36"/>
      <c r="J5" s="36"/>
      <c r="K5" s="36"/>
      <c r="L5" s="36"/>
      <c r="M5" s="36"/>
      <c r="N5" s="36"/>
      <c r="O5" s="271">
        <f>SUM(C5:N5)</f>
        <v>4152</v>
      </c>
      <c r="P5" s="290">
        <f t="shared" ref="P5:P27" si="0">O5/$O$23</f>
        <v>0.1135139568581349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>
        <v>886</v>
      </c>
      <c r="G6" s="36">
        <v>0</v>
      </c>
      <c r="H6" s="36"/>
      <c r="I6" s="36"/>
      <c r="J6" s="36"/>
      <c r="K6" s="36"/>
      <c r="L6" s="36"/>
      <c r="M6" s="36"/>
      <c r="N6" s="36"/>
      <c r="O6" s="271">
        <f t="shared" ref="O6:O27" si="1">SUM(C6:N6)</f>
        <v>3076</v>
      </c>
      <c r="P6" s="290">
        <f t="shared" si="0"/>
        <v>8.4096563414167366E-2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1050</v>
      </c>
      <c r="G7" s="36">
        <v>0</v>
      </c>
      <c r="H7" s="36"/>
      <c r="I7" s="36"/>
      <c r="J7" s="36"/>
      <c r="K7" s="36"/>
      <c r="L7" s="36"/>
      <c r="M7" s="36"/>
      <c r="N7" s="36"/>
      <c r="O7" s="271">
        <f t="shared" si="1"/>
        <v>1050</v>
      </c>
      <c r="P7" s="290">
        <f t="shared" si="0"/>
        <v>2.8706564234354921E-2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>
        <v>0</v>
      </c>
      <c r="G8" s="36">
        <v>550</v>
      </c>
      <c r="H8" s="36"/>
      <c r="I8" s="36"/>
      <c r="J8" s="36"/>
      <c r="K8" s="36"/>
      <c r="L8" s="36"/>
      <c r="M8" s="36"/>
      <c r="N8" s="36"/>
      <c r="O8" s="271">
        <f t="shared" si="1"/>
        <v>4385</v>
      </c>
      <c r="P8" s="290">
        <f t="shared" si="0"/>
        <v>0.11988408015966318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71">
        <f t="shared" si="1"/>
        <v>160</v>
      </c>
      <c r="P10" s="290">
        <f t="shared" si="0"/>
        <v>4.3743335976159882E-3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>
        <v>1050</v>
      </c>
      <c r="G11" s="36">
        <v>0</v>
      </c>
      <c r="H11" s="36"/>
      <c r="I11" s="36"/>
      <c r="J11" s="36"/>
      <c r="K11" s="36"/>
      <c r="L11" s="36"/>
      <c r="M11" s="36"/>
      <c r="N11" s="36"/>
      <c r="O11" s="271">
        <f t="shared" si="1"/>
        <v>3515</v>
      </c>
      <c r="P11" s="290">
        <f t="shared" si="0"/>
        <v>9.6098641222626235E-2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>
        <f>216+1400+160+275</f>
        <v>2051</v>
      </c>
      <c r="G12" s="36">
        <v>0</v>
      </c>
      <c r="H12" s="36"/>
      <c r="I12" s="36"/>
      <c r="J12" s="36"/>
      <c r="K12" s="36"/>
      <c r="L12" s="36"/>
      <c r="M12" s="36"/>
      <c r="N12" s="36"/>
      <c r="O12" s="271">
        <f t="shared" si="1"/>
        <v>3031</v>
      </c>
      <c r="P12" s="290">
        <f t="shared" si="0"/>
        <v>8.2866282089837873E-2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>
        <f>1050+324</f>
        <v>1374</v>
      </c>
      <c r="G13" s="36">
        <v>0</v>
      </c>
      <c r="H13" s="36"/>
      <c r="I13" s="36"/>
      <c r="J13" s="36"/>
      <c r="K13" s="36"/>
      <c r="L13" s="36"/>
      <c r="M13" s="36"/>
      <c r="N13" s="36"/>
      <c r="O13" s="271">
        <f t="shared" si="1"/>
        <v>1444</v>
      </c>
      <c r="P13" s="290">
        <f t="shared" si="0"/>
        <v>3.947836071848429E-2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71">
        <f t="shared" si="1"/>
        <v>350</v>
      </c>
      <c r="P14" s="290">
        <f t="shared" si="0"/>
        <v>9.5688547447849749E-3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>
        <v>0</v>
      </c>
      <c r="G15" s="36">
        <v>1750</v>
      </c>
      <c r="H15" s="36"/>
      <c r="I15" s="36"/>
      <c r="J15" s="36"/>
      <c r="K15" s="36"/>
      <c r="L15" s="36"/>
      <c r="M15" s="36"/>
      <c r="N15" s="36"/>
      <c r="O15" s="271">
        <f t="shared" si="1"/>
        <v>3473</v>
      </c>
      <c r="P15" s="290">
        <f t="shared" si="0"/>
        <v>9.4950378653252038E-2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>
        <v>360</v>
      </c>
      <c r="G16" s="36">
        <f>216+175</f>
        <v>391</v>
      </c>
      <c r="H16" s="36"/>
      <c r="I16" s="36"/>
      <c r="J16" s="36"/>
      <c r="K16" s="36"/>
      <c r="L16" s="36"/>
      <c r="M16" s="36"/>
      <c r="N16" s="36"/>
      <c r="O16" s="271">
        <f t="shared" si="1"/>
        <v>1580</v>
      </c>
      <c r="P16" s="290">
        <f t="shared" si="0"/>
        <v>4.3196544276457881E-2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>
        <f>1050+320+550</f>
        <v>1920</v>
      </c>
      <c r="G17" s="36">
        <v>0</v>
      </c>
      <c r="H17" s="36"/>
      <c r="I17" s="36"/>
      <c r="J17" s="36"/>
      <c r="K17" s="36"/>
      <c r="L17" s="36"/>
      <c r="M17" s="36"/>
      <c r="N17" s="36"/>
      <c r="O17" s="271">
        <f t="shared" si="1"/>
        <v>2970</v>
      </c>
      <c r="P17" s="290">
        <f t="shared" si="0"/>
        <v>8.1198567405746783E-2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f>350+320</f>
        <v>670</v>
      </c>
      <c r="G18" s="36">
        <f>350+55</f>
        <v>405</v>
      </c>
      <c r="H18" s="36"/>
      <c r="I18" s="36"/>
      <c r="J18" s="36"/>
      <c r="K18" s="36"/>
      <c r="L18" s="36"/>
      <c r="M18" s="36"/>
      <c r="N18" s="36"/>
      <c r="O18" s="271">
        <f t="shared" si="1"/>
        <v>1075</v>
      </c>
      <c r="P18" s="290">
        <f t="shared" si="0"/>
        <v>2.9390053858982419E-2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>
        <v>0</v>
      </c>
      <c r="G19" s="36">
        <f>2200+700</f>
        <v>2900</v>
      </c>
      <c r="H19" s="36"/>
      <c r="I19" s="36"/>
      <c r="J19" s="36"/>
      <c r="K19" s="36"/>
      <c r="L19" s="36"/>
      <c r="M19" s="36"/>
      <c r="N19" s="36"/>
      <c r="O19" s="271">
        <f t="shared" si="1"/>
        <v>5080</v>
      </c>
      <c r="P19" s="290">
        <f t="shared" si="0"/>
        <v>0.13888509172430763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>
        <v>0</v>
      </c>
      <c r="G20" s="36">
        <f>1050+160+275</f>
        <v>1485</v>
      </c>
      <c r="H20" s="36"/>
      <c r="I20" s="36"/>
      <c r="J20" s="36"/>
      <c r="K20" s="36"/>
      <c r="L20" s="36"/>
      <c r="M20" s="36"/>
      <c r="N20" s="36"/>
      <c r="O20" s="271">
        <f t="shared" si="1"/>
        <v>2035</v>
      </c>
      <c r="P20" s="290">
        <f t="shared" si="0"/>
        <v>5.5636055444678346E-2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>
        <f>700+700</f>
        <v>1400</v>
      </c>
      <c r="G21" s="36">
        <v>0</v>
      </c>
      <c r="H21" s="36"/>
      <c r="I21" s="36"/>
      <c r="J21" s="36"/>
      <c r="K21" s="36"/>
      <c r="L21" s="36"/>
      <c r="M21" s="36"/>
      <c r="N21" s="36"/>
      <c r="O21" s="271">
        <f t="shared" si="1"/>
        <v>1730</v>
      </c>
      <c r="P21" s="290">
        <f t="shared" si="0"/>
        <v>4.7297482024222876E-2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108</v>
      </c>
      <c r="G22" s="36">
        <v>0</v>
      </c>
      <c r="H22" s="36"/>
      <c r="I22" s="36"/>
      <c r="J22" s="36"/>
      <c r="K22" s="36"/>
      <c r="L22" s="36"/>
      <c r="M22" s="36"/>
      <c r="N22" s="36"/>
      <c r="O22" s="271">
        <f t="shared" si="1"/>
        <v>108</v>
      </c>
      <c r="P22" s="290">
        <f t="shared" si="0"/>
        <v>2.9526751783907918E-3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>
        <f>D5+D6+D8+D11+D12+D13+D15+D19+D21</f>
        <v>13185</v>
      </c>
      <c r="E23" s="42">
        <f>E6+E14+E15+E19+E20</f>
        <v>2438</v>
      </c>
      <c r="F23" s="42">
        <f>F5+F6+F7+F11+F12+F13+F16+F18+F21+F22</f>
        <v>10029</v>
      </c>
      <c r="G23" s="42">
        <f>G20+G19+G18+G16+G15+G8+G5</f>
        <v>8353</v>
      </c>
      <c r="H23" s="42"/>
      <c r="I23" s="42"/>
      <c r="J23" s="42"/>
      <c r="K23" s="42"/>
      <c r="L23" s="42"/>
      <c r="M23" s="42"/>
      <c r="N23" s="42"/>
      <c r="O23" s="54">
        <f t="shared" si="1"/>
        <v>36577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560+550</f>
        <v>1110</v>
      </c>
      <c r="F24" s="36">
        <v>660</v>
      </c>
      <c r="G24" s="36">
        <v>550</v>
      </c>
      <c r="H24" s="36"/>
      <c r="I24" s="36"/>
      <c r="J24" s="36"/>
      <c r="K24" s="36"/>
      <c r="L24" s="36"/>
      <c r="M24" s="36"/>
      <c r="N24" s="36"/>
      <c r="O24" s="271">
        <f t="shared" si="1"/>
        <v>2320</v>
      </c>
      <c r="P24" s="290">
        <f t="shared" si="0"/>
        <v>6.3427837165431822E-2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13185</v>
      </c>
      <c r="E27" s="282">
        <f>E23+E24</f>
        <v>3548</v>
      </c>
      <c r="F27" s="282">
        <f>F23+F26</f>
        <v>10029</v>
      </c>
      <c r="G27" s="282">
        <f t="shared" si="2"/>
        <v>8353</v>
      </c>
      <c r="H27" s="282">
        <f t="shared" si="2"/>
        <v>0</v>
      </c>
      <c r="I27" s="282">
        <f t="shared" si="2"/>
        <v>0</v>
      </c>
      <c r="J27" s="282">
        <f t="shared" si="2"/>
        <v>0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3">
        <f t="shared" si="1"/>
        <v>37687</v>
      </c>
      <c r="P27" s="293">
        <f t="shared" si="0"/>
        <v>1.030346939333461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7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G28" sqref="G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>รายงานข้อมูลณ วันที่ 28/2/62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>
        <v>5040</v>
      </c>
      <c r="G5" s="36">
        <v>0</v>
      </c>
      <c r="H5" s="36"/>
      <c r="I5" s="36"/>
      <c r="J5" s="36"/>
      <c r="K5" s="36"/>
      <c r="L5" s="36"/>
      <c r="M5" s="36"/>
      <c r="N5" s="36"/>
      <c r="O5" s="271">
        <f>SUM(C5:N5)</f>
        <v>20318.36</v>
      </c>
      <c r="P5" s="290">
        <f t="shared" ref="P5:P27" si="0">O5/$O$23</f>
        <v>0.13537506784290801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>
        <v>395</v>
      </c>
      <c r="G6" s="36">
        <v>2520</v>
      </c>
      <c r="H6" s="36"/>
      <c r="I6" s="36"/>
      <c r="J6" s="36"/>
      <c r="K6" s="36"/>
      <c r="L6" s="36"/>
      <c r="M6" s="36"/>
      <c r="N6" s="36"/>
      <c r="O6" s="271">
        <f t="shared" ref="O6:O27" si="1">SUM(C6:N6)</f>
        <v>8350.9</v>
      </c>
      <c r="P6" s="290">
        <f t="shared" si="0"/>
        <v>5.5639512935558792E-2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>
        <v>0</v>
      </c>
      <c r="G7" s="36">
        <f>395+79.18</f>
        <v>474.18</v>
      </c>
      <c r="H7" s="36"/>
      <c r="I7" s="36"/>
      <c r="J7" s="36"/>
      <c r="K7" s="36"/>
      <c r="L7" s="36"/>
      <c r="M7" s="36"/>
      <c r="N7" s="36"/>
      <c r="O7" s="271">
        <f t="shared" si="1"/>
        <v>6822.54</v>
      </c>
      <c r="P7" s="290">
        <f t="shared" si="0"/>
        <v>4.5456513978537318E-2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>
        <v>0</v>
      </c>
      <c r="G8" s="36">
        <v>395</v>
      </c>
      <c r="H8" s="36"/>
      <c r="I8" s="36"/>
      <c r="J8" s="36"/>
      <c r="K8" s="36"/>
      <c r="L8" s="36"/>
      <c r="M8" s="36"/>
      <c r="N8" s="36"/>
      <c r="O8" s="271">
        <f t="shared" si="1"/>
        <v>20555</v>
      </c>
      <c r="P8" s="290">
        <f t="shared" si="0"/>
        <v>0.13695172836345915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>
        <v>395</v>
      </c>
      <c r="G9" s="36">
        <v>0</v>
      </c>
      <c r="H9" s="36"/>
      <c r="I9" s="36"/>
      <c r="J9" s="36"/>
      <c r="K9" s="36"/>
      <c r="L9" s="36"/>
      <c r="M9" s="36"/>
      <c r="N9" s="36"/>
      <c r="O9" s="271">
        <f t="shared" si="1"/>
        <v>11893.36</v>
      </c>
      <c r="P9" s="290">
        <f t="shared" si="0"/>
        <v>7.924184909018879E-2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>
        <v>6300</v>
      </c>
      <c r="G10" s="36">
        <v>0</v>
      </c>
      <c r="H10" s="36"/>
      <c r="I10" s="36"/>
      <c r="J10" s="36"/>
      <c r="K10" s="36"/>
      <c r="L10" s="36"/>
      <c r="M10" s="36"/>
      <c r="N10" s="36"/>
      <c r="O10" s="271">
        <f t="shared" si="1"/>
        <v>11873.36</v>
      </c>
      <c r="P10" s="290">
        <f t="shared" si="0"/>
        <v>7.9108595158431591E-2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>
        <v>0</v>
      </c>
      <c r="G11" s="36">
        <v>2520</v>
      </c>
      <c r="H11" s="36"/>
      <c r="I11" s="36"/>
      <c r="J11" s="36"/>
      <c r="K11" s="36"/>
      <c r="L11" s="36"/>
      <c r="M11" s="36"/>
      <c r="N11" s="36"/>
      <c r="O11" s="271">
        <f t="shared" si="1"/>
        <v>10080</v>
      </c>
      <c r="P11" s="290">
        <f t="shared" si="0"/>
        <v>6.7159981605627264E-2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>
        <v>5040</v>
      </c>
      <c r="G13" s="36">
        <v>1008</v>
      </c>
      <c r="H13" s="36"/>
      <c r="I13" s="36"/>
      <c r="J13" s="36"/>
      <c r="K13" s="36"/>
      <c r="L13" s="36"/>
      <c r="M13" s="36"/>
      <c r="N13" s="36"/>
      <c r="O13" s="271">
        <f t="shared" si="1"/>
        <v>7274.3600000000006</v>
      </c>
      <c r="P13" s="290">
        <f t="shared" si="0"/>
        <v>4.8466853550864164E-2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71">
        <f t="shared" si="1"/>
        <v>5198.3599999999997</v>
      </c>
      <c r="P14" s="290">
        <f t="shared" si="0"/>
        <v>3.4635095434467113E-2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>
        <v>0</v>
      </c>
      <c r="G15" s="36">
        <v>0</v>
      </c>
      <c r="H15" s="36"/>
      <c r="I15" s="36"/>
      <c r="J15" s="36"/>
      <c r="K15" s="36"/>
      <c r="L15" s="36"/>
      <c r="M15" s="36"/>
      <c r="N15" s="36"/>
      <c r="O15" s="271">
        <f t="shared" si="1"/>
        <v>7560</v>
      </c>
      <c r="P15" s="290">
        <f t="shared" si="0"/>
        <v>5.0369986204220445E-2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>
        <v>79.180000000000007</v>
      </c>
      <c r="G16" s="36">
        <v>0</v>
      </c>
      <c r="H16" s="36"/>
      <c r="I16" s="36"/>
      <c r="J16" s="36"/>
      <c r="K16" s="36"/>
      <c r="L16" s="36"/>
      <c r="M16" s="36"/>
      <c r="N16" s="36"/>
      <c r="O16" s="271">
        <f t="shared" si="1"/>
        <v>13429.18</v>
      </c>
      <c r="P16" s="290">
        <f t="shared" si="0"/>
        <v>8.9474551763755697E-2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79.180000000000007</v>
      </c>
      <c r="G17" s="36">
        <v>0</v>
      </c>
      <c r="H17" s="36"/>
      <c r="I17" s="36"/>
      <c r="J17" s="36"/>
      <c r="K17" s="36"/>
      <c r="L17" s="36"/>
      <c r="M17" s="36"/>
      <c r="N17" s="36"/>
      <c r="O17" s="271">
        <f t="shared" si="1"/>
        <v>79.180000000000007</v>
      </c>
      <c r="P17" s="290">
        <f t="shared" si="0"/>
        <v>5.2755231582674272E-4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>
        <f>1008+79.18</f>
        <v>1087.18</v>
      </c>
      <c r="G18" s="36">
        <v>0</v>
      </c>
      <c r="H18" s="36"/>
      <c r="I18" s="36"/>
      <c r="J18" s="36"/>
      <c r="K18" s="36"/>
      <c r="L18" s="36"/>
      <c r="M18" s="36"/>
      <c r="N18" s="36"/>
      <c r="O18" s="271">
        <f t="shared" si="1"/>
        <v>4946.3599999999997</v>
      </c>
      <c r="P18" s="290">
        <f t="shared" si="0"/>
        <v>3.295609589432643E-2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>
        <v>0</v>
      </c>
      <c r="G19" s="36">
        <v>181.7</v>
      </c>
      <c r="H19" s="36"/>
      <c r="I19" s="36"/>
      <c r="J19" s="36"/>
      <c r="K19" s="36"/>
      <c r="L19" s="36"/>
      <c r="M19" s="36"/>
      <c r="N19" s="36"/>
      <c r="O19" s="271">
        <f t="shared" si="1"/>
        <v>7741.7</v>
      </c>
      <c r="P19" s="290">
        <f t="shared" si="0"/>
        <v>5.1580598174234576E-2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71">
        <f t="shared" si="1"/>
        <v>6695</v>
      </c>
      <c r="P20" s="290">
        <f t="shared" si="0"/>
        <v>4.4606753655721677E-2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>
        <f>553.36</f>
        <v>553.36</v>
      </c>
      <c r="G21" s="36">
        <v>395</v>
      </c>
      <c r="H21" s="36"/>
      <c r="I21" s="36"/>
      <c r="J21" s="36"/>
      <c r="K21" s="36"/>
      <c r="L21" s="36"/>
      <c r="M21" s="36"/>
      <c r="N21" s="36"/>
      <c r="O21" s="271">
        <f t="shared" si="1"/>
        <v>2231.7200000000003</v>
      </c>
      <c r="P21" s="290">
        <f t="shared" si="0"/>
        <v>1.486927322905858E-2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71">
        <f t="shared" si="1"/>
        <v>5040</v>
      </c>
      <c r="P22" s="290">
        <f t="shared" si="0"/>
        <v>3.3579990802813632E-2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361">
        <f>D5+D6+D7+D8+D9+D10+D11+D13+D14+D18</f>
        <v>31214.800000000003</v>
      </c>
      <c r="E23" s="361">
        <f>E5+E6+E9+E10+E18+E19+E20+E21</f>
        <v>13786.800000000001</v>
      </c>
      <c r="F23" s="42">
        <f>F5+F6+F7+F8+F9+F10+F11+F12+F13+F14+F15+F16+F17+F18+F19+F20+F21+F22</f>
        <v>18968.900000000001</v>
      </c>
      <c r="G23" s="42">
        <f>G21+G19+G13+G11+G8+G7+G6</f>
        <v>7493.88</v>
      </c>
      <c r="H23" s="42"/>
      <c r="I23" s="42"/>
      <c r="J23" s="42"/>
      <c r="K23" s="42"/>
      <c r="L23" s="42"/>
      <c r="M23" s="42"/>
      <c r="N23" s="42"/>
      <c r="O23" s="54">
        <f t="shared" si="1"/>
        <v>150089.38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>
        <v>0</v>
      </c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71">
        <f t="shared" si="1"/>
        <v>316.72000000000003</v>
      </c>
      <c r="P24" s="290">
        <f t="shared" si="0"/>
        <v>2.1102092633069709E-3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>
        <v>31214.799999999999</v>
      </c>
      <c r="E27" s="282">
        <v>13786.8</v>
      </c>
      <c r="F27" s="282">
        <v>18889.72</v>
      </c>
      <c r="G27" s="282">
        <f>G24+G23</f>
        <v>7493.88</v>
      </c>
      <c r="H27" s="282"/>
      <c r="I27" s="282"/>
      <c r="J27" s="282"/>
      <c r="K27" s="282"/>
      <c r="L27" s="282"/>
      <c r="M27" s="282"/>
      <c r="N27" s="282"/>
      <c r="O27" s="283">
        <f t="shared" si="1"/>
        <v>150326.92000000001</v>
      </c>
      <c r="P27" s="293">
        <f t="shared" si="0"/>
        <v>1.0015826569474804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G28" sqref="G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28/2/62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/>
      <c r="I5" s="36"/>
      <c r="J5" s="36"/>
      <c r="K5" s="36"/>
      <c r="L5" s="36"/>
      <c r="M5" s="36"/>
      <c r="N5" s="36"/>
      <c r="O5" s="271">
        <v>0</v>
      </c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/>
      <c r="I6" s="36"/>
      <c r="J6" s="36"/>
      <c r="K6" s="36"/>
      <c r="L6" s="36"/>
      <c r="M6" s="36"/>
      <c r="N6" s="36"/>
      <c r="O6" s="271">
        <v>0</v>
      </c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>
        <v>0</v>
      </c>
      <c r="G7" s="36">
        <v>0</v>
      </c>
      <c r="H7" s="36"/>
      <c r="I7" s="36"/>
      <c r="J7" s="36"/>
      <c r="K7" s="36"/>
      <c r="L7" s="36"/>
      <c r="M7" s="36"/>
      <c r="N7" s="36"/>
      <c r="O7" s="271">
        <v>0</v>
      </c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71">
        <v>0</v>
      </c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642</v>
      </c>
      <c r="G9" s="36">
        <v>0</v>
      </c>
      <c r="H9" s="36"/>
      <c r="I9" s="36"/>
      <c r="J9" s="36"/>
      <c r="K9" s="36"/>
      <c r="L9" s="36"/>
      <c r="M9" s="36"/>
      <c r="N9" s="36"/>
      <c r="O9" s="271">
        <v>642</v>
      </c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/>
      <c r="I11" s="36"/>
      <c r="J11" s="36"/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/>
      <c r="I15" s="36"/>
      <c r="J15" s="36"/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v>1284</v>
      </c>
      <c r="E23" s="42">
        <v>0</v>
      </c>
      <c r="F23" s="42">
        <v>0</v>
      </c>
      <c r="G23" s="42">
        <v>0</v>
      </c>
      <c r="H23" s="42"/>
      <c r="I23" s="42"/>
      <c r="J23" s="42"/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3210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>
        <v>1284</v>
      </c>
      <c r="E27" s="282">
        <v>3210</v>
      </c>
      <c r="F27" s="282">
        <v>642</v>
      </c>
      <c r="G27" s="282">
        <v>0</v>
      </c>
      <c r="H27" s="282"/>
      <c r="I27" s="282"/>
      <c r="J27" s="282"/>
      <c r="K27" s="282"/>
      <c r="L27" s="282"/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workbookViewId="0">
      <selection activeCell="G25" sqref="G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28/2/62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>
        <v>0</v>
      </c>
      <c r="G5" s="36">
        <v>0</v>
      </c>
      <c r="H5" s="36"/>
      <c r="I5" s="36"/>
      <c r="J5" s="36"/>
      <c r="K5" s="36"/>
      <c r="L5" s="36"/>
      <c r="M5" s="36"/>
      <c r="N5" s="36"/>
      <c r="O5" s="271">
        <v>126</v>
      </c>
      <c r="P5" s="290">
        <f t="shared" ref="P5:P27" si="0">O5/$O$23</f>
        <v>0.83443708609271527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/>
      <c r="I6" s="36"/>
      <c r="J6" s="36"/>
      <c r="K6" s="36"/>
      <c r="L6" s="36"/>
      <c r="M6" s="36"/>
      <c r="N6" s="36"/>
      <c r="O6" s="271"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>
        <v>0</v>
      </c>
      <c r="G7" s="36">
        <v>0</v>
      </c>
      <c r="H7" s="36"/>
      <c r="I7" s="36"/>
      <c r="J7" s="36"/>
      <c r="K7" s="36"/>
      <c r="L7" s="36"/>
      <c r="M7" s="36"/>
      <c r="N7" s="36"/>
      <c r="O7" s="271">
        <v>25</v>
      </c>
      <c r="P7" s="290">
        <f t="shared" si="0"/>
        <v>0.16556291390728478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71"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/>
      <c r="I9" s="36"/>
      <c r="J9" s="36"/>
      <c r="K9" s="36"/>
      <c r="L9" s="36"/>
      <c r="M9" s="36"/>
      <c r="N9" s="36"/>
      <c r="O9" s="271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71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/>
      <c r="I11" s="36"/>
      <c r="J11" s="36"/>
      <c r="K11" s="36"/>
      <c r="L11" s="36"/>
      <c r="M11" s="36"/>
      <c r="N11" s="36"/>
      <c r="O11" s="271"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71"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71"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71"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/>
      <c r="I15" s="36"/>
      <c r="J15" s="36"/>
      <c r="K15" s="36"/>
      <c r="L15" s="36"/>
      <c r="M15" s="36"/>
      <c r="N15" s="36"/>
      <c r="O15" s="271"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71"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71">
        <v>92</v>
      </c>
      <c r="P17" s="290">
        <f t="shared" si="0"/>
        <v>0.60927152317880795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71"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36"/>
      <c r="M19" s="36"/>
      <c r="N19" s="36"/>
      <c r="O19" s="271"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71"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71"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71"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f>D5+D7+D17</f>
        <v>243.21999999999997</v>
      </c>
      <c r="E23" s="42">
        <v>0</v>
      </c>
      <c r="F23" s="42">
        <v>0</v>
      </c>
      <c r="G23" s="42">
        <v>0</v>
      </c>
      <c r="H23" s="42"/>
      <c r="I23" s="42"/>
      <c r="J23" s="42"/>
      <c r="K23" s="42"/>
      <c r="L23" s="42"/>
      <c r="M23" s="42"/>
      <c r="N23" s="42"/>
      <c r="O23" s="54">
        <f>126+25</f>
        <v>151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>
        <v>0</v>
      </c>
      <c r="F24" s="36">
        <v>0</v>
      </c>
      <c r="G24" s="36">
        <v>0</v>
      </c>
      <c r="H24" s="36"/>
      <c r="I24" s="36"/>
      <c r="J24" s="36"/>
      <c r="K24" s="36"/>
      <c r="L24" s="36"/>
      <c r="M24" s="36"/>
      <c r="N24" s="36"/>
      <c r="O24" s="271"/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243.21999999999997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0</v>
      </c>
      <c r="I27" s="282">
        <f t="shared" si="1"/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v>151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G25" sqref="G25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28/2/62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>
        <f>158.3+19668.47+200.25+72+2086.5+210</f>
        <v>22395.52</v>
      </c>
      <c r="G5" s="36">
        <f>20690.83+1320+7432.5</f>
        <v>29443.33</v>
      </c>
      <c r="H5" s="36"/>
      <c r="I5" s="36"/>
      <c r="J5" s="36"/>
      <c r="K5" s="36"/>
      <c r="L5" s="36"/>
      <c r="M5" s="36"/>
      <c r="N5" s="36"/>
      <c r="O5" s="270">
        <f>SUM(C5:N5)</f>
        <v>108132.89000000001</v>
      </c>
      <c r="P5" s="290">
        <f t="shared" ref="P5:P27" si="0">O5/$O$23</f>
        <v>0.13198308308440754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>
        <f>15396.29+94.98+362.4+1502.28</f>
        <v>17355.95</v>
      </c>
      <c r="G6" s="36">
        <f>11228.34+150+500+399.11+170+64+72+200+160+93</f>
        <v>13036.45</v>
      </c>
      <c r="H6" s="36"/>
      <c r="I6" s="36"/>
      <c r="J6" s="36"/>
      <c r="K6" s="36"/>
      <c r="L6" s="36"/>
      <c r="M6" s="36"/>
      <c r="N6" s="36"/>
      <c r="O6" s="270">
        <f t="shared" ref="O6:O27" si="1">SUM(C6:N6)</f>
        <v>76121.679999999993</v>
      </c>
      <c r="P6" s="290">
        <f t="shared" si="0"/>
        <v>9.2911361344033994E-2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>
        <v>3273.49</v>
      </c>
      <c r="G7" s="36">
        <f>533.7+138+725+33.11+84+84+10637.58+300+1160</f>
        <v>13695.39</v>
      </c>
      <c r="H7" s="36"/>
      <c r="I7" s="36"/>
      <c r="J7" s="36"/>
      <c r="K7" s="36"/>
      <c r="L7" s="36"/>
      <c r="M7" s="36"/>
      <c r="N7" s="36"/>
      <c r="O7" s="270">
        <f t="shared" si="1"/>
        <v>28937.37</v>
      </c>
      <c r="P7" s="290">
        <f t="shared" si="0"/>
        <v>3.5319904137901439E-2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>
        <f>2997+1000</f>
        <v>3997</v>
      </c>
      <c r="G8" s="36">
        <f>12534.24+2683.56+7988.28+1320</f>
        <v>24526.079999999998</v>
      </c>
      <c r="H8" s="36"/>
      <c r="I8" s="36"/>
      <c r="J8" s="36"/>
      <c r="K8" s="36"/>
      <c r="L8" s="36"/>
      <c r="M8" s="36"/>
      <c r="N8" s="36"/>
      <c r="O8" s="270">
        <f t="shared" si="1"/>
        <v>62384.239999999991</v>
      </c>
      <c r="P8" s="290">
        <f t="shared" si="0"/>
        <v>7.6143940396650983E-2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>
        <f>7757.81+1883.41+4640+150</f>
        <v>14431.220000000001</v>
      </c>
      <c r="G9" s="36">
        <f>9298.2+41</f>
        <v>9339.2000000000007</v>
      </c>
      <c r="H9" s="36"/>
      <c r="I9" s="36"/>
      <c r="J9" s="36"/>
      <c r="K9" s="36"/>
      <c r="L9" s="36"/>
      <c r="M9" s="36"/>
      <c r="N9" s="36"/>
      <c r="O9" s="270">
        <f t="shared" si="1"/>
        <v>46135.619999999995</v>
      </c>
      <c r="P9" s="290">
        <f t="shared" si="0"/>
        <v>5.6311464232673816E-2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>
        <f>7334.27+60</f>
        <v>7394.27</v>
      </c>
      <c r="G10" s="36">
        <v>3519.61</v>
      </c>
      <c r="H10" s="36"/>
      <c r="I10" s="36"/>
      <c r="J10" s="36"/>
      <c r="K10" s="36"/>
      <c r="L10" s="36"/>
      <c r="M10" s="36"/>
      <c r="N10" s="36"/>
      <c r="O10" s="270">
        <f t="shared" si="1"/>
        <v>32617.550000000003</v>
      </c>
      <c r="P10" s="290">
        <f t="shared" si="0"/>
        <v>3.9811798349788083E-2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>
        <f>10882.25+348.4+1920+360</f>
        <v>13510.65</v>
      </c>
      <c r="G11" s="36">
        <f>5041.07+420</f>
        <v>5461.07</v>
      </c>
      <c r="H11" s="36"/>
      <c r="I11" s="36"/>
      <c r="J11" s="36"/>
      <c r="K11" s="36"/>
      <c r="L11" s="36"/>
      <c r="M11" s="36"/>
      <c r="N11" s="36"/>
      <c r="O11" s="270">
        <f t="shared" si="1"/>
        <v>36722.54</v>
      </c>
      <c r="P11" s="290">
        <f t="shared" si="0"/>
        <v>4.4822200237970872E-2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>
        <f>16330.25+420</f>
        <v>16750.25</v>
      </c>
      <c r="G12" s="36">
        <f>1460+543.3</f>
        <v>2003.3</v>
      </c>
      <c r="H12" s="36"/>
      <c r="I12" s="36"/>
      <c r="J12" s="36"/>
      <c r="K12" s="36"/>
      <c r="L12" s="36"/>
      <c r="M12" s="36"/>
      <c r="N12" s="36"/>
      <c r="O12" s="270">
        <f t="shared" si="1"/>
        <v>73695.460000000006</v>
      </c>
      <c r="P12" s="290">
        <f t="shared" si="0"/>
        <v>8.9950005221571636E-2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>
        <f>4838.78+900+3900.44+360</f>
        <v>9999.2199999999993</v>
      </c>
      <c r="G13" s="36">
        <f>2287.68+26.75+29.5+50+5541.25</f>
        <v>7935.18</v>
      </c>
      <c r="H13" s="36"/>
      <c r="I13" s="36"/>
      <c r="J13" s="36"/>
      <c r="K13" s="36"/>
      <c r="L13" s="36"/>
      <c r="M13" s="36"/>
      <c r="N13" s="36"/>
      <c r="O13" s="270">
        <f t="shared" si="1"/>
        <v>48823.6</v>
      </c>
      <c r="P13" s="290">
        <f t="shared" si="0"/>
        <v>5.9592315115964051E-2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>
        <v>6967.94</v>
      </c>
      <c r="G14" s="36">
        <v>780</v>
      </c>
      <c r="H14" s="36"/>
      <c r="I14" s="36"/>
      <c r="J14" s="36"/>
      <c r="K14" s="36"/>
      <c r="L14" s="36"/>
      <c r="M14" s="36"/>
      <c r="N14" s="36"/>
      <c r="O14" s="270">
        <f t="shared" si="1"/>
        <v>24251.729999999996</v>
      </c>
      <c r="P14" s="290">
        <f t="shared" si="0"/>
        <v>2.9600781922416181E-2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>
        <f>6821.79+670+2051.81+287.1+6251.84</f>
        <v>16082.54</v>
      </c>
      <c r="G15" s="36">
        <f>1943.32+1671</f>
        <v>3614.3199999999997</v>
      </c>
      <c r="H15" s="36"/>
      <c r="I15" s="36"/>
      <c r="J15" s="36"/>
      <c r="K15" s="36"/>
      <c r="L15" s="36"/>
      <c r="M15" s="36"/>
      <c r="N15" s="36"/>
      <c r="O15" s="270">
        <f t="shared" si="1"/>
        <v>36782.730000000003</v>
      </c>
      <c r="P15" s="290">
        <f t="shared" si="0"/>
        <v>4.4895665968618145E-2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>
        <v>3089.36</v>
      </c>
      <c r="G16" s="36">
        <f>4644.1+24.1+26.75+16.05+32.1</f>
        <v>4743.1000000000013</v>
      </c>
      <c r="H16" s="36"/>
      <c r="I16" s="36"/>
      <c r="J16" s="36"/>
      <c r="K16" s="36"/>
      <c r="L16" s="36"/>
      <c r="M16" s="36"/>
      <c r="N16" s="36"/>
      <c r="O16" s="270">
        <f t="shared" si="1"/>
        <v>28362.420000000002</v>
      </c>
      <c r="P16" s="290">
        <f t="shared" si="0"/>
        <v>3.4618141023835224E-2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>
        <f>8061.39+432+16431.73</f>
        <v>24925.119999999999</v>
      </c>
      <c r="G17" s="36">
        <v>0</v>
      </c>
      <c r="H17" s="36"/>
      <c r="I17" s="36"/>
      <c r="J17" s="36"/>
      <c r="K17" s="36"/>
      <c r="L17" s="36"/>
      <c r="M17" s="36"/>
      <c r="N17" s="36"/>
      <c r="O17" s="270">
        <f t="shared" si="1"/>
        <v>44730.64</v>
      </c>
      <c r="P17" s="290">
        <f t="shared" si="0"/>
        <v>5.4596596609400909E-2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>
        <v>5212.5200000000004</v>
      </c>
      <c r="G18" s="36">
        <f>3613.43</f>
        <v>3613.43</v>
      </c>
      <c r="H18" s="36"/>
      <c r="I18" s="36"/>
      <c r="J18" s="36"/>
      <c r="K18" s="36"/>
      <c r="L18" s="36"/>
      <c r="M18" s="36"/>
      <c r="N18" s="36"/>
      <c r="O18" s="270">
        <f t="shared" si="1"/>
        <v>23370.77</v>
      </c>
      <c r="P18" s="290">
        <f t="shared" si="0"/>
        <v>2.8525514102661811E-2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>
        <v>13477.5</v>
      </c>
      <c r="G19" s="36">
        <v>7326.1</v>
      </c>
      <c r="H19" s="36"/>
      <c r="I19" s="36"/>
      <c r="J19" s="36"/>
      <c r="K19" s="36"/>
      <c r="L19" s="36"/>
      <c r="M19" s="36"/>
      <c r="N19" s="36"/>
      <c r="O19" s="270">
        <f t="shared" si="1"/>
        <v>58241.919999999998</v>
      </c>
      <c r="P19" s="290">
        <f t="shared" si="0"/>
        <v>7.108797486458944E-2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>
        <f>2944.21+120</f>
        <v>3064.21</v>
      </c>
      <c r="G20" s="36">
        <f>5723.53+928+3463.85+9.08+41</f>
        <v>10165.459999999999</v>
      </c>
      <c r="H20" s="36"/>
      <c r="I20" s="36"/>
      <c r="J20" s="36"/>
      <c r="K20" s="36"/>
      <c r="L20" s="36"/>
      <c r="M20" s="36"/>
      <c r="N20" s="36"/>
      <c r="O20" s="270">
        <f t="shared" si="1"/>
        <v>28131.87</v>
      </c>
      <c r="P20" s="290">
        <f t="shared" si="0"/>
        <v>3.4336740056885105E-2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>
        <f>7238.67+1670</f>
        <v>8908.67</v>
      </c>
      <c r="G21" s="36">
        <f>7389.08+153.8</f>
        <v>7542.88</v>
      </c>
      <c r="H21" s="36"/>
      <c r="I21" s="36"/>
      <c r="J21" s="36"/>
      <c r="K21" s="36"/>
      <c r="L21" s="36"/>
      <c r="M21" s="36"/>
      <c r="N21" s="36"/>
      <c r="O21" s="270">
        <f t="shared" si="1"/>
        <v>36510.259999999995</v>
      </c>
      <c r="P21" s="290">
        <f t="shared" si="0"/>
        <v>4.4563098970288498E-2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>
        <f>2421.28+240.75</f>
        <v>2662.03</v>
      </c>
      <c r="G22" s="36">
        <f>7471.19+100</f>
        <v>7571.19</v>
      </c>
      <c r="H22" s="36"/>
      <c r="I22" s="36"/>
      <c r="J22" s="36"/>
      <c r="K22" s="36"/>
      <c r="L22" s="36"/>
      <c r="M22" s="36"/>
      <c r="N22" s="36"/>
      <c r="O22" s="270">
        <f t="shared" si="1"/>
        <v>25340.269999999997</v>
      </c>
      <c r="P22" s="290">
        <f t="shared" si="0"/>
        <v>3.0929414360342342E-2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>
        <f>D5+D6+D7+D8+D9+D10+D11+D12+D13+D14+D15+D16+D17+D18+D19+D20+D21+D22</f>
        <v>184188.65000000002</v>
      </c>
      <c r="E23" s="133">
        <f>E5+E6+E7+E8+E9+E22+E21+E20+E19+E18+E17+E16+E15+E14+E13+E12+E11</f>
        <v>138423.47</v>
      </c>
      <c r="F23" s="133">
        <f>F5+F6+F7+F8+F9+F10+F11+F12+F13+F14+F15+F16+F17+F18+F19+F20+F21+F22</f>
        <v>193497.45999999996</v>
      </c>
      <c r="G23" s="133">
        <f>G22+G21+G20+G19+G18+G17+G16+G15+G14+G13+G12+G11+G10+G9+G8+G7+G6+G5</f>
        <v>154316.09</v>
      </c>
      <c r="H23" s="133"/>
      <c r="I23" s="133"/>
      <c r="J23" s="133"/>
      <c r="K23" s="133"/>
      <c r="L23" s="133"/>
      <c r="M23" s="133"/>
      <c r="N23" s="133"/>
      <c r="O23" s="53">
        <f t="shared" si="1"/>
        <v>819293.55999999994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>
        <f>26106.38+6725+1200+29215+8609.8+520</f>
        <v>72376.180000000008</v>
      </c>
      <c r="G24" s="36">
        <f>36348.73+5500+350+5000+4988+1440+475</f>
        <v>54101.73</v>
      </c>
      <c r="H24" s="36"/>
      <c r="I24" s="36"/>
      <c r="J24" s="36"/>
      <c r="K24" s="36"/>
      <c r="L24" s="36"/>
      <c r="M24" s="36"/>
      <c r="N24" s="36"/>
      <c r="O24" s="270">
        <f t="shared" si="1"/>
        <v>202729.01000000004</v>
      </c>
      <c r="P24" s="290">
        <f t="shared" si="0"/>
        <v>0.24744367574425954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/>
      <c r="I25" s="36"/>
      <c r="J25" s="36"/>
      <c r="K25" s="36"/>
      <c r="L25" s="36"/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>
        <v>9518.1</v>
      </c>
      <c r="E26" s="138">
        <v>40425.449999999997</v>
      </c>
      <c r="F26" s="138">
        <v>71856.179999999993</v>
      </c>
      <c r="G26" s="138">
        <v>53626.73</v>
      </c>
      <c r="H26" s="138"/>
      <c r="I26" s="138"/>
      <c r="J26" s="138"/>
      <c r="K26" s="138"/>
      <c r="L26" s="138"/>
      <c r="M26" s="138"/>
      <c r="N26" s="138"/>
      <c r="O26" s="275">
        <f t="shared" si="1"/>
        <v>201734.01</v>
      </c>
      <c r="P26" s="292">
        <f t="shared" si="0"/>
        <v>0.24622921483723126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>
        <f>D23+D24</f>
        <v>193706.75000000003</v>
      </c>
      <c r="E27" s="159">
        <f>E23+E24</f>
        <v>178848.92</v>
      </c>
      <c r="F27" s="159">
        <f>F23+F26</f>
        <v>265353.63999999996</v>
      </c>
      <c r="G27" s="159">
        <f>G26+G23</f>
        <v>207942.82</v>
      </c>
      <c r="H27" s="159"/>
      <c r="I27" s="159"/>
      <c r="J27" s="159"/>
      <c r="K27" s="159"/>
      <c r="L27" s="159"/>
      <c r="M27" s="159"/>
      <c r="N27" s="159"/>
      <c r="O27" s="159">
        <f t="shared" si="1"/>
        <v>1021027.5700000001</v>
      </c>
      <c r="P27" s="336">
        <f t="shared" si="0"/>
        <v>1.2462292148372314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7" workbookViewId="0">
      <selection activeCell="E28" sqref="E28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28/2/62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/>
      <c r="H5" s="36"/>
      <c r="I5" s="36"/>
      <c r="J5" s="36"/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>
        <v>0</v>
      </c>
      <c r="G7" s="36"/>
      <c r="H7" s="36"/>
      <c r="I7" s="36"/>
      <c r="J7" s="36"/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/>
      <c r="H8" s="36"/>
      <c r="I8" s="36"/>
      <c r="J8" s="36"/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/>
      <c r="H12" s="36"/>
      <c r="I12" s="36"/>
      <c r="J12" s="36"/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/>
      <c r="H14" s="36"/>
      <c r="I14" s="36"/>
      <c r="J14" s="36"/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/>
      <c r="H15" s="36"/>
      <c r="I15" s="36"/>
      <c r="J15" s="36"/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/>
      <c r="H16" s="36"/>
      <c r="I16" s="36"/>
      <c r="J16" s="36"/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/>
      <c r="H17" s="36"/>
      <c r="I17" s="36"/>
      <c r="J17" s="36"/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/>
      <c r="H18" s="36"/>
      <c r="I18" s="36"/>
      <c r="J18" s="36"/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/>
      <c r="H19" s="36"/>
      <c r="I19" s="36"/>
      <c r="J19" s="36"/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/>
      <c r="H20" s="36"/>
      <c r="I20" s="36"/>
      <c r="J20" s="36"/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/>
      <c r="J21" s="36"/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>
        <v>0</v>
      </c>
      <c r="G23" s="37"/>
      <c r="H23" s="37"/>
      <c r="I23" s="37"/>
      <c r="J23" s="37"/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>
        <v>0</v>
      </c>
      <c r="E24" s="353">
        <v>0</v>
      </c>
      <c r="F24" s="353">
        <v>0</v>
      </c>
      <c r="G24" s="353"/>
      <c r="H24" s="353"/>
      <c r="I24" s="353"/>
      <c r="J24" s="353"/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>
        <v>0</v>
      </c>
      <c r="E25" s="353">
        <v>0</v>
      </c>
      <c r="F25" s="353">
        <v>0</v>
      </c>
      <c r="G25" s="353"/>
      <c r="H25" s="353"/>
      <c r="I25" s="353"/>
      <c r="J25" s="353"/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>
        <v>0</v>
      </c>
      <c r="G26" s="40"/>
      <c r="H26" s="40"/>
      <c r="I26" s="40"/>
      <c r="J26" s="40"/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>
        <v>0</v>
      </c>
      <c r="G27" s="357"/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3" zoomScaleNormal="100" workbookViewId="0">
      <selection activeCell="P31" sqref="P31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28/2/62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>
        <f>13500+37405.91</f>
        <v>50905.91</v>
      </c>
      <c r="G5" s="92">
        <v>40942</v>
      </c>
      <c r="H5" s="92"/>
      <c r="I5" s="92"/>
      <c r="J5" s="92"/>
      <c r="K5" s="92"/>
      <c r="L5" s="92"/>
      <c r="M5" s="92"/>
      <c r="N5" s="92"/>
      <c r="O5" s="310">
        <f>SUM(C5:N5)</f>
        <v>218032.53</v>
      </c>
      <c r="P5" s="346">
        <f t="shared" ref="P5:P27" si="0">O5/$O$23</f>
        <v>0.20660401996554567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>
        <f>25691.15+2808+642</f>
        <v>29141.15</v>
      </c>
      <c r="G6" s="92">
        <f>290+435+27760.6</f>
        <v>28485.599999999999</v>
      </c>
      <c r="H6" s="92"/>
      <c r="I6" s="92"/>
      <c r="J6" s="92"/>
      <c r="K6" s="92"/>
      <c r="L6" s="92"/>
      <c r="M6" s="92"/>
      <c r="N6" s="92"/>
      <c r="O6" s="310">
        <f t="shared" ref="O6:O27" si="1">SUM(C6:N6)</f>
        <v>120704.28</v>
      </c>
      <c r="P6" s="346">
        <f t="shared" si="0"/>
        <v>0.11437737971965382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>
        <f>10797.98+1170+4800</f>
        <v>16767.98</v>
      </c>
      <c r="G7" s="92">
        <f>2100+7899.78</f>
        <v>9999.7799999999988</v>
      </c>
      <c r="H7" s="92"/>
      <c r="I7" s="92"/>
      <c r="J7" s="92"/>
      <c r="K7" s="92"/>
      <c r="L7" s="92"/>
      <c r="M7" s="92"/>
      <c r="N7" s="92"/>
      <c r="O7" s="310">
        <f t="shared" si="1"/>
        <v>46388.569999999992</v>
      </c>
      <c r="P7" s="346">
        <f t="shared" si="0"/>
        <v>4.3957041834322204E-2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>
        <f>7020</f>
        <v>7020</v>
      </c>
      <c r="G8" s="92">
        <v>16379</v>
      </c>
      <c r="H8" s="92"/>
      <c r="I8" s="92"/>
      <c r="J8" s="92"/>
      <c r="K8" s="92"/>
      <c r="L8" s="92"/>
      <c r="M8" s="92"/>
      <c r="N8" s="92"/>
      <c r="O8" s="310">
        <f t="shared" si="1"/>
        <v>82598.399999999994</v>
      </c>
      <c r="P8" s="346">
        <f t="shared" si="0"/>
        <v>7.8268877963862213E-2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>
        <f>15964.99+7391.99+540</f>
        <v>23896.98</v>
      </c>
      <c r="G9" s="92">
        <f>7260+2700+725</f>
        <v>10685</v>
      </c>
      <c r="H9" s="92"/>
      <c r="I9" s="92"/>
      <c r="J9" s="92"/>
      <c r="K9" s="92"/>
      <c r="L9" s="92"/>
      <c r="M9" s="92"/>
      <c r="N9" s="92"/>
      <c r="O9" s="310">
        <f t="shared" si="1"/>
        <v>55464.959999999999</v>
      </c>
      <c r="P9" s="346">
        <f t="shared" si="0"/>
        <v>5.2557678907950996E-2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>
        <v>5055</v>
      </c>
      <c r="G10" s="92">
        <f>2559</f>
        <v>2559</v>
      </c>
      <c r="H10" s="92"/>
      <c r="I10" s="92"/>
      <c r="J10" s="92"/>
      <c r="K10" s="92"/>
      <c r="L10" s="92"/>
      <c r="M10" s="92"/>
      <c r="N10" s="92"/>
      <c r="O10" s="310">
        <f t="shared" si="1"/>
        <v>43240.85</v>
      </c>
      <c r="P10" s="346">
        <f t="shared" si="0"/>
        <v>4.0974314414125107E-2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>
        <f>1800+13525.95</f>
        <v>15325.95</v>
      </c>
      <c r="G11" s="92">
        <f>11820+1828</f>
        <v>13648</v>
      </c>
      <c r="H11" s="92"/>
      <c r="I11" s="92"/>
      <c r="J11" s="92"/>
      <c r="K11" s="92"/>
      <c r="L11" s="92"/>
      <c r="M11" s="92"/>
      <c r="N11" s="92"/>
      <c r="O11" s="310">
        <f t="shared" si="1"/>
        <v>41419.870000000003</v>
      </c>
      <c r="P11" s="346">
        <f t="shared" si="0"/>
        <v>3.9248783878489631E-2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>
        <f>13608+16761</f>
        <v>30369</v>
      </c>
      <c r="G12" s="92">
        <f>3649.95+2250+2100+1000</f>
        <v>8999.9500000000007</v>
      </c>
      <c r="H12" s="92"/>
      <c r="I12" s="92"/>
      <c r="J12" s="92"/>
      <c r="K12" s="92"/>
      <c r="L12" s="92"/>
      <c r="M12" s="92"/>
      <c r="N12" s="92"/>
      <c r="O12" s="310">
        <f t="shared" si="1"/>
        <v>99666.64</v>
      </c>
      <c r="P12" s="346">
        <f t="shared" si="0"/>
        <v>9.4442459941453935E-2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>
        <v>7467</v>
      </c>
      <c r="G13" s="92">
        <v>3454.99</v>
      </c>
      <c r="H13" s="92"/>
      <c r="I13" s="92"/>
      <c r="J13" s="92"/>
      <c r="K13" s="92"/>
      <c r="L13" s="92"/>
      <c r="M13" s="92"/>
      <c r="N13" s="92"/>
      <c r="O13" s="310">
        <f t="shared" si="1"/>
        <v>33727.96</v>
      </c>
      <c r="P13" s="346">
        <f t="shared" si="0"/>
        <v>3.196005715861356E-2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>
        <v>6708</v>
      </c>
      <c r="G14" s="92">
        <v>0</v>
      </c>
      <c r="H14" s="92"/>
      <c r="I14" s="92"/>
      <c r="J14" s="92"/>
      <c r="K14" s="92"/>
      <c r="L14" s="92"/>
      <c r="M14" s="92"/>
      <c r="N14" s="92"/>
      <c r="O14" s="310">
        <f t="shared" si="1"/>
        <v>20037.98</v>
      </c>
      <c r="P14" s="346">
        <f t="shared" si="0"/>
        <v>1.8987658492928577E-2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>
        <f>987+18518.95</f>
        <v>19505.95</v>
      </c>
      <c r="G15" s="92">
        <v>14527</v>
      </c>
      <c r="H15" s="92"/>
      <c r="I15" s="92"/>
      <c r="J15" s="92"/>
      <c r="K15" s="92"/>
      <c r="L15" s="92"/>
      <c r="M15" s="92"/>
      <c r="N15" s="92"/>
      <c r="O15" s="310">
        <f t="shared" si="1"/>
        <v>62904.9</v>
      </c>
      <c r="P15" s="346">
        <f t="shared" si="0"/>
        <v>5.9607643022491434E-2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>
        <f>4479+500</f>
        <v>4979</v>
      </c>
      <c r="G16" s="92">
        <f>5459+359.99</f>
        <v>5818.99</v>
      </c>
      <c r="H16" s="92"/>
      <c r="I16" s="92"/>
      <c r="J16" s="92"/>
      <c r="K16" s="92"/>
      <c r="L16" s="92"/>
      <c r="M16" s="92"/>
      <c r="N16" s="92"/>
      <c r="O16" s="310">
        <f t="shared" si="1"/>
        <v>24254.979999999996</v>
      </c>
      <c r="P16" s="346">
        <f t="shared" si="0"/>
        <v>2.2983617959136237E-2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>
        <v>18432.39</v>
      </c>
      <c r="G17" s="92">
        <v>0</v>
      </c>
      <c r="H17" s="92"/>
      <c r="I17" s="92"/>
      <c r="J17" s="92"/>
      <c r="K17" s="92"/>
      <c r="L17" s="92"/>
      <c r="M17" s="92"/>
      <c r="N17" s="92"/>
      <c r="O17" s="310">
        <f t="shared" si="1"/>
        <v>28961.39</v>
      </c>
      <c r="P17" s="346">
        <f t="shared" si="0"/>
        <v>2.7443334248288338E-2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>
        <v>1404</v>
      </c>
      <c r="G18" s="92">
        <f>6690+24.1+899.98</f>
        <v>7614.08</v>
      </c>
      <c r="H18" s="92"/>
      <c r="I18" s="92"/>
      <c r="J18" s="92"/>
      <c r="K18" s="92"/>
      <c r="L18" s="92"/>
      <c r="M18" s="92"/>
      <c r="N18" s="92"/>
      <c r="O18" s="310">
        <f t="shared" si="1"/>
        <v>25794.870000000003</v>
      </c>
      <c r="P18" s="346">
        <f t="shared" si="0"/>
        <v>2.4442792258974638E-2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>
        <v>0</v>
      </c>
      <c r="G19" s="92">
        <v>40007</v>
      </c>
      <c r="H19" s="92"/>
      <c r="I19" s="92"/>
      <c r="J19" s="92"/>
      <c r="K19" s="92"/>
      <c r="L19" s="92"/>
      <c r="M19" s="92"/>
      <c r="N19" s="92"/>
      <c r="O19" s="310">
        <f t="shared" si="1"/>
        <v>55874.95</v>
      </c>
      <c r="P19" s="346">
        <f t="shared" si="0"/>
        <v>5.2946178652212426E-2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>
        <v>10887.99</v>
      </c>
      <c r="G20" s="92">
        <f>2899.99+4940</f>
        <v>7839.99</v>
      </c>
      <c r="H20" s="92"/>
      <c r="I20" s="92"/>
      <c r="J20" s="92"/>
      <c r="K20" s="92"/>
      <c r="L20" s="92"/>
      <c r="M20" s="92"/>
      <c r="N20" s="92"/>
      <c r="O20" s="310">
        <f t="shared" si="1"/>
        <v>33133.96</v>
      </c>
      <c r="P20" s="346">
        <f t="shared" si="0"/>
        <v>3.1397192581206081E-2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>
        <f>1800+8108.99</f>
        <v>9908.99</v>
      </c>
      <c r="G21" s="92">
        <f>10685.99+145+630</f>
        <v>11460.99</v>
      </c>
      <c r="H21" s="92"/>
      <c r="I21" s="92"/>
      <c r="J21" s="92"/>
      <c r="K21" s="92"/>
      <c r="L21" s="92"/>
      <c r="M21" s="92"/>
      <c r="N21" s="92"/>
      <c r="O21" s="310">
        <f t="shared" si="1"/>
        <v>51468.939999999995</v>
      </c>
      <c r="P21" s="346">
        <f t="shared" si="0"/>
        <v>4.8771116435540475E-2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>
        <v>5740</v>
      </c>
      <c r="G22" s="92">
        <v>0</v>
      </c>
      <c r="H22" s="92"/>
      <c r="I22" s="92"/>
      <c r="J22" s="92"/>
      <c r="K22" s="92"/>
      <c r="L22" s="92"/>
      <c r="M22" s="92"/>
      <c r="N22" s="92"/>
      <c r="O22" s="310">
        <f t="shared" si="1"/>
        <v>11639.98</v>
      </c>
      <c r="P22" s="346">
        <f t="shared" si="0"/>
        <v>1.1029852565204615E-2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>
        <f>D5+D6+D7+D8+D9+D10+D11+D12+D13+D14+D15+D16+D17+D18+D19+D20+D21+D22</f>
        <v>212916.11</v>
      </c>
      <c r="E23" s="96">
        <f>E5+E6+E21+E20+E19+E18+E17+E16+E15+E14+E13+E12+E11+E10+E9+E8+E7++E22</f>
        <v>184043.35000000006</v>
      </c>
      <c r="F23" s="96">
        <f>F5+F6+F7+F8+F9+F10+F11+F12+F13+F14+F15+F16+F17+F18+F19+F20+F21+F22</f>
        <v>263515.28999999998</v>
      </c>
      <c r="G23" s="96">
        <f>G5+G6+G7+G8+G9+G10+G11+G12+G13+G14+G15+G16+G17+G18+G19+G20+G21+G22</f>
        <v>222421.36999999997</v>
      </c>
      <c r="H23" s="96"/>
      <c r="I23" s="96"/>
      <c r="J23" s="96"/>
      <c r="K23" s="96"/>
      <c r="L23" s="96"/>
      <c r="M23" s="96"/>
      <c r="N23" s="96"/>
      <c r="O23" s="311">
        <f t="shared" si="1"/>
        <v>1055316.01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>
        <f>21847.98+950+2312</f>
        <v>25109.98</v>
      </c>
      <c r="G24" s="93">
        <f>675+18248</f>
        <v>18923</v>
      </c>
      <c r="H24" s="93"/>
      <c r="I24" s="93"/>
      <c r="J24" s="93"/>
      <c r="K24" s="93"/>
      <c r="L24" s="93"/>
      <c r="M24" s="93"/>
      <c r="N24" s="93"/>
      <c r="O24" s="312">
        <f t="shared" si="1"/>
        <v>82486.86</v>
      </c>
      <c r="P24" s="348">
        <f t="shared" si="0"/>
        <v>7.8163184504326813E-2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/>
      <c r="I25" s="93"/>
      <c r="J25" s="93"/>
      <c r="K25" s="93"/>
      <c r="L25" s="93"/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>
        <v>4085.94</v>
      </c>
      <c r="E26" s="99">
        <v>26394.94</v>
      </c>
      <c r="F26" s="99">
        <v>25109.98</v>
      </c>
      <c r="G26" s="99">
        <v>18923</v>
      </c>
      <c r="H26" s="99"/>
      <c r="I26" s="99"/>
      <c r="J26" s="99"/>
      <c r="K26" s="99"/>
      <c r="L26" s="99"/>
      <c r="M26" s="99"/>
      <c r="N26" s="99"/>
      <c r="O26" s="313">
        <f t="shared" si="1"/>
        <v>82486.86</v>
      </c>
      <c r="P26" s="349">
        <f t="shared" si="0"/>
        <v>7.8163184504326813E-2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>
        <f>4085.94+212961.11</f>
        <v>217047.05</v>
      </c>
      <c r="E27" s="159">
        <f>E26+E23</f>
        <v>210438.29000000007</v>
      </c>
      <c r="F27" s="159">
        <f>F26+F23</f>
        <v>288625.26999999996</v>
      </c>
      <c r="G27" s="159">
        <f>G26+G23</f>
        <v>241344.36999999997</v>
      </c>
      <c r="H27" s="159"/>
      <c r="I27" s="159"/>
      <c r="J27" s="159"/>
      <c r="K27" s="159"/>
      <c r="L27" s="159"/>
      <c r="M27" s="159"/>
      <c r="N27" s="159"/>
      <c r="O27" s="159">
        <f t="shared" si="1"/>
        <v>1137847.8699999999</v>
      </c>
      <c r="P27" s="336">
        <f t="shared" si="0"/>
        <v>1.078205825760191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3" t="s">
        <v>72</v>
      </c>
      <c r="H30" s="363"/>
      <c r="I30" s="363"/>
      <c r="J30" s="56"/>
      <c r="K30" s="56"/>
      <c r="L30" s="363" t="s">
        <v>49</v>
      </c>
      <c r="M30" s="363"/>
      <c r="N30" s="363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11" zoomScaleNormal="100" workbookViewId="0">
      <selection activeCell="G28" sqref="G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>รายงานข้อมูลณ วันที่ 28/2/62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>
        <v>0</v>
      </c>
      <c r="G5" s="129">
        <v>9162.76</v>
      </c>
      <c r="H5" s="129"/>
      <c r="I5" s="129"/>
      <c r="J5" s="129"/>
      <c r="K5" s="129"/>
      <c r="L5" s="129"/>
      <c r="M5" s="129"/>
      <c r="N5" s="129"/>
      <c r="O5" s="303">
        <f>SUM(C5:N5)</f>
        <v>30362.230000000003</v>
      </c>
      <c r="P5" s="290">
        <f t="shared" ref="P5:P27" si="0">O5/$O$23</f>
        <v>5.106858462997952E-2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>
        <v>2269.02</v>
      </c>
      <c r="G6" s="129">
        <v>7871.63</v>
      </c>
      <c r="H6" s="129"/>
      <c r="I6" s="129"/>
      <c r="J6" s="129"/>
      <c r="K6" s="129"/>
      <c r="L6" s="129"/>
      <c r="M6" s="129"/>
      <c r="N6" s="129"/>
      <c r="O6" s="303">
        <f t="shared" ref="O6:O27" si="1">SUM(C6:N6)</f>
        <v>23900.69</v>
      </c>
      <c r="P6" s="290">
        <f t="shared" si="0"/>
        <v>4.0200420390067035E-2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>
        <v>4388.72</v>
      </c>
      <c r="G7" s="129">
        <v>2978.31</v>
      </c>
      <c r="H7" s="129"/>
      <c r="I7" s="129"/>
      <c r="J7" s="129"/>
      <c r="K7" s="129"/>
      <c r="L7" s="129"/>
      <c r="M7" s="129"/>
      <c r="N7" s="129"/>
      <c r="O7" s="303">
        <f t="shared" si="1"/>
        <v>14944.269999999999</v>
      </c>
      <c r="P7" s="290">
        <f t="shared" si="0"/>
        <v>2.5135924378027041E-2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>
        <v>12586.51</v>
      </c>
      <c r="G8" s="129">
        <v>8834.07</v>
      </c>
      <c r="H8" s="129"/>
      <c r="I8" s="129"/>
      <c r="J8" s="129"/>
      <c r="K8" s="129"/>
      <c r="L8" s="129"/>
      <c r="M8" s="129"/>
      <c r="N8" s="129"/>
      <c r="O8" s="303">
        <f t="shared" si="1"/>
        <v>194918.57</v>
      </c>
      <c r="P8" s="290">
        <f t="shared" si="0"/>
        <v>0.32784862930027164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>
        <v>13790.7</v>
      </c>
      <c r="G9" s="129">
        <v>0</v>
      </c>
      <c r="H9" s="129"/>
      <c r="I9" s="129"/>
      <c r="J9" s="129"/>
      <c r="K9" s="129"/>
      <c r="L9" s="129"/>
      <c r="M9" s="129"/>
      <c r="N9" s="129"/>
      <c r="O9" s="303">
        <f t="shared" si="1"/>
        <v>20356.75</v>
      </c>
      <c r="P9" s="290">
        <f t="shared" si="0"/>
        <v>3.4239593408202741E-2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>
        <v>3151.72</v>
      </c>
      <c r="G10" s="129">
        <v>3432.31</v>
      </c>
      <c r="H10" s="129"/>
      <c r="I10" s="129"/>
      <c r="J10" s="129"/>
      <c r="K10" s="129"/>
      <c r="L10" s="129"/>
      <c r="M10" s="129"/>
      <c r="N10" s="129"/>
      <c r="O10" s="303">
        <f t="shared" si="1"/>
        <v>25840.300000000003</v>
      </c>
      <c r="P10" s="290">
        <f t="shared" si="0"/>
        <v>4.346280057209434E-2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>
        <v>5827.65</v>
      </c>
      <c r="G11" s="129">
        <v>3483.71</v>
      </c>
      <c r="H11" s="129"/>
      <c r="I11" s="129"/>
      <c r="J11" s="129"/>
      <c r="K11" s="129"/>
      <c r="L11" s="129"/>
      <c r="M11" s="129"/>
      <c r="N11" s="129"/>
      <c r="O11" s="303">
        <f t="shared" si="1"/>
        <v>12081.939999999999</v>
      </c>
      <c r="P11" s="290">
        <f t="shared" si="0"/>
        <v>2.032155001079745E-2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>
        <v>7698.39</v>
      </c>
      <c r="G12" s="129">
        <v>9680.17</v>
      </c>
      <c r="H12" s="129"/>
      <c r="I12" s="129"/>
      <c r="J12" s="129"/>
      <c r="K12" s="129"/>
      <c r="L12" s="129"/>
      <c r="M12" s="129"/>
      <c r="N12" s="129"/>
      <c r="O12" s="303">
        <f t="shared" si="1"/>
        <v>42292.369999999995</v>
      </c>
      <c r="P12" s="290">
        <f t="shared" si="0"/>
        <v>7.1134810471675053E-2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>
        <v>4382.2700000000004</v>
      </c>
      <c r="G13" s="129">
        <v>3858.6</v>
      </c>
      <c r="H13" s="129"/>
      <c r="I13" s="129"/>
      <c r="J13" s="129"/>
      <c r="K13" s="129"/>
      <c r="L13" s="129"/>
      <c r="M13" s="129"/>
      <c r="N13" s="129"/>
      <c r="O13" s="303">
        <f t="shared" si="1"/>
        <v>23911.989999999998</v>
      </c>
      <c r="P13" s="290">
        <f t="shared" si="0"/>
        <v>4.0219426734670799E-2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>
        <v>2454.64</v>
      </c>
      <c r="G14" s="129">
        <v>3122.4</v>
      </c>
      <c r="H14" s="129"/>
      <c r="I14" s="129"/>
      <c r="J14" s="129"/>
      <c r="K14" s="129"/>
      <c r="L14" s="129"/>
      <c r="M14" s="129"/>
      <c r="N14" s="129"/>
      <c r="O14" s="303">
        <f t="shared" si="1"/>
        <v>21090.140000000003</v>
      </c>
      <c r="P14" s="290">
        <f t="shared" si="0"/>
        <v>3.5473138812535061E-2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>
        <v>8335.0499999999993</v>
      </c>
      <c r="G15" s="129">
        <v>2232.27</v>
      </c>
      <c r="H15" s="129"/>
      <c r="I15" s="129"/>
      <c r="J15" s="129"/>
      <c r="K15" s="129"/>
      <c r="L15" s="129"/>
      <c r="M15" s="129"/>
      <c r="N15" s="129"/>
      <c r="O15" s="303">
        <f t="shared" si="1"/>
        <v>19718.11</v>
      </c>
      <c r="P15" s="290">
        <f t="shared" si="0"/>
        <v>3.31654153623843E-2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>
        <v>3229.91</v>
      </c>
      <c r="G16" s="129">
        <v>3752.78</v>
      </c>
      <c r="H16" s="129"/>
      <c r="I16" s="129"/>
      <c r="J16" s="129"/>
      <c r="K16" s="129"/>
      <c r="L16" s="129"/>
      <c r="M16" s="129"/>
      <c r="N16" s="129"/>
      <c r="O16" s="303">
        <f t="shared" si="1"/>
        <v>22517.699999999997</v>
      </c>
      <c r="P16" s="290">
        <f t="shared" si="0"/>
        <v>3.7874262467628025E-2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>
        <v>6489.22</v>
      </c>
      <c r="G17" s="129">
        <v>4148.51</v>
      </c>
      <c r="H17" s="129"/>
      <c r="I17" s="129"/>
      <c r="J17" s="129"/>
      <c r="K17" s="129"/>
      <c r="L17" s="129"/>
      <c r="M17" s="129"/>
      <c r="N17" s="129"/>
      <c r="O17" s="303">
        <f t="shared" si="1"/>
        <v>24223.72</v>
      </c>
      <c r="P17" s="290">
        <f t="shared" si="0"/>
        <v>4.0743749549124929E-2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>
        <v>6529.47</v>
      </c>
      <c r="G18" s="129">
        <v>3311.17</v>
      </c>
      <c r="H18" s="129"/>
      <c r="I18" s="129"/>
      <c r="J18" s="129"/>
      <c r="K18" s="129"/>
      <c r="L18" s="129"/>
      <c r="M18" s="129"/>
      <c r="N18" s="129"/>
      <c r="O18" s="303">
        <f t="shared" si="1"/>
        <v>23365.58</v>
      </c>
      <c r="P18" s="290">
        <f t="shared" si="0"/>
        <v>3.9300377464321849E-2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>
        <v>7334.81</v>
      </c>
      <c r="G19" s="129">
        <v>4557.49</v>
      </c>
      <c r="H19" s="129"/>
      <c r="I19" s="129"/>
      <c r="J19" s="129"/>
      <c r="K19" s="129"/>
      <c r="L19" s="129"/>
      <c r="M19" s="129"/>
      <c r="N19" s="129"/>
      <c r="O19" s="303">
        <f t="shared" si="1"/>
        <v>38016.57</v>
      </c>
      <c r="P19" s="290">
        <f t="shared" si="0"/>
        <v>6.3943011510898262E-2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>
        <v>5429.66</v>
      </c>
      <c r="G20" s="129">
        <v>0</v>
      </c>
      <c r="H20" s="129"/>
      <c r="I20" s="129"/>
      <c r="J20" s="129"/>
      <c r="K20" s="129"/>
      <c r="L20" s="129"/>
      <c r="M20" s="129"/>
      <c r="N20" s="129"/>
      <c r="O20" s="303">
        <f t="shared" si="1"/>
        <v>12411.6</v>
      </c>
      <c r="P20" s="290">
        <f t="shared" si="0"/>
        <v>2.0876030680007818E-2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>
        <v>4720.4799999999996</v>
      </c>
      <c r="G21" s="129">
        <v>5433.99</v>
      </c>
      <c r="H21" s="129"/>
      <c r="I21" s="129"/>
      <c r="J21" s="129"/>
      <c r="K21" s="129"/>
      <c r="L21" s="129"/>
      <c r="M21" s="129"/>
      <c r="N21" s="129"/>
      <c r="O21" s="303">
        <f t="shared" si="1"/>
        <v>23559.369999999995</v>
      </c>
      <c r="P21" s="290">
        <f t="shared" si="0"/>
        <v>3.9626327864389417E-2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>
        <v>4550.54</v>
      </c>
      <c r="G22" s="129">
        <v>4175.9799999999996</v>
      </c>
      <c r="H22" s="129"/>
      <c r="I22" s="129"/>
      <c r="J22" s="129"/>
      <c r="K22" s="129"/>
      <c r="L22" s="129"/>
      <c r="M22" s="129"/>
      <c r="N22" s="129"/>
      <c r="O22" s="303">
        <f t="shared" si="1"/>
        <v>27657.57</v>
      </c>
      <c r="P22" s="290">
        <f t="shared" si="0"/>
        <v>4.6519407639181394E-2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>
        <f>D5+D6+D7+D8+D9+D11+D12+D13+D14+D15+D16+D17+D18+D19+D20+D21++D22</f>
        <v>83875.470000000016</v>
      </c>
      <c r="E23" s="155">
        <f>E5+E6+E7+E8+E9+E10+E11+E12+E13+E14+E15+E16+E17+E18+E19+E20+E21+E22</f>
        <v>73712.020000000019</v>
      </c>
      <c r="F23" s="155">
        <f>F5+F6+F7+F8+F9+F10+F11+F12+F13+F14+F15+F16+F17+F18+F19+F20+F21+F22</f>
        <v>103168.76</v>
      </c>
      <c r="G23" s="155">
        <f>G5+G6+G7+G8+G9+G10+G11+G12+G13+G14+G15+G16+G17+G18+G19+G20+G21+G22</f>
        <v>80036.150000000009</v>
      </c>
      <c r="H23" s="155"/>
      <c r="I23" s="155"/>
      <c r="J23" s="155"/>
      <c r="K23" s="155"/>
      <c r="L23" s="155"/>
      <c r="M23" s="155"/>
      <c r="N23" s="155"/>
      <c r="O23" s="304">
        <f t="shared" si="1"/>
        <v>594538.31000000006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/>
      <c r="I24" s="130"/>
      <c r="J24" s="130"/>
      <c r="K24" s="130"/>
      <c r="L24" s="130"/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>
        <v>83875.47</v>
      </c>
      <c r="E27" s="209">
        <v>73712.02</v>
      </c>
      <c r="F27" s="209">
        <v>103167.76</v>
      </c>
      <c r="G27" s="209">
        <v>80036.149999999994</v>
      </c>
      <c r="H27" s="209"/>
      <c r="I27" s="209"/>
      <c r="J27" s="209"/>
      <c r="K27" s="209"/>
      <c r="L27" s="209"/>
      <c r="M27" s="209"/>
      <c r="N27" s="209"/>
      <c r="O27" s="209">
        <f t="shared" si="1"/>
        <v>594537.31000000006</v>
      </c>
      <c r="P27" s="281">
        <f t="shared" si="0"/>
        <v>0.99999831802260142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>รายงานข้อมูลณ วันที่ 28/2/62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39376.559999999998</v>
      </c>
      <c r="E5" s="193">
        <f>'1.ยาทั่วไป'!E5+'2.ยาแพทย์ PCC'!E5+'3.ยาเรื้อรัง 25%'!E5+'4.ยาเรื้อรังฟรี'!E5</f>
        <v>75657.55</v>
      </c>
      <c r="F5" s="193">
        <f>'1.ยาทั่วไป'!F5+'2.ยาแพทย์ PCC'!F5+'3.ยาเรื้อรัง 25%'!F5+'4.ยาเรื้อรังฟรี'!F5</f>
        <v>73301.430000000008</v>
      </c>
      <c r="G5" s="193">
        <f>'1.ยาทั่วไป'!G5+'2.ยาแพทย์ PCC'!G5+'3.ยาเรื้อรัง 25%'!G5+'4.ยาเรื้อรังฟรี'!G5</f>
        <v>70385.33</v>
      </c>
      <c r="H5" s="193">
        <f>'1.ยาทั่วไป'!H5+'2.ยาแพทย์ PCC'!H5+'3.ยาเรื้อรัง 25%'!H5+'4.ยาเรื้อรังฟรี'!H5</f>
        <v>0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0</v>
      </c>
      <c r="K5" s="193">
        <f>'1.ยาทั่วไป'!K5+'2.ยาแพทย์ PCC'!K5+'3.ยาเรื้อรัง 25%'!K5+'4.ยาเรื้อรังฟรี'!K5</f>
        <v>0</v>
      </c>
      <c r="L5" s="193">
        <f>'1.ยาทั่วไป'!L5+'2.ยาแพทย์ PCC'!L5+'3.ยาเรื้อรัง 25%'!L5+'4.ยาเรื้อรังฟรี'!L5</f>
        <v>0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326165.42000000004</v>
      </c>
      <c r="P5" s="319">
        <f t="shared" ref="P5:P27" si="0">O5/$O$23</f>
        <v>0.1739911207217405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48827.25</v>
      </c>
      <c r="E6" s="193">
        <f>'1.ยาทั่วไป'!E6+'2.ยาแพทย์ PCC'!E6+'3.ยาเรื้อรัง 25%'!E6+'4.ยาเรื้อรังฟรี'!E6</f>
        <v>39206.76</v>
      </c>
      <c r="F6" s="193">
        <f>'1.ยาทั่วไป'!F6+'2.ยาแพทย์ PCC'!F6+'3.ยาเรื้อรัง 25%'!F6+'4.ยาเรื้อรังฟรี'!F6</f>
        <v>46497.100000000006</v>
      </c>
      <c r="G6" s="193">
        <f>'1.ยาทั่วไป'!G6+'2.ยาแพทย์ PCC'!G6+'3.ยาเรื้อรัง 25%'!G6+'4.ยาเรื้อรังฟรี'!G6</f>
        <v>41522.050000000003</v>
      </c>
      <c r="H6" s="193">
        <f>'1.ยาทั่วไป'!H6+'2.ยาแพทย์ PCC'!H6+'3.ยาเรื้อรัง 25%'!H6+'4.ยาเรื้อรังฟรี'!H6</f>
        <v>0</v>
      </c>
      <c r="I6" s="193">
        <f>'1.ยาทั่วไป'!I6+'2.ยาแพทย์ PCC'!I6+'3.ยาเรื้อรัง 25%'!I6+'4.ยาเรื้อรังฟรี'!I6</f>
        <v>0</v>
      </c>
      <c r="J6" s="193">
        <f>'1.ยาทั่วไป'!J6+'2.ยาแพทย์ PCC'!J6+'3.ยาเรื้อรัง 25%'!J6+'4.ยาเรื้อรังฟรี'!J6</f>
        <v>0</v>
      </c>
      <c r="K6" s="193">
        <f>'1.ยาทั่วไป'!K6+'2.ยาแพทย์ PCC'!K6+'3.ยาเรื้อรัง 25%'!K6+'4.ยาเรื้อรังฟรี'!K6</f>
        <v>0</v>
      </c>
      <c r="L6" s="193">
        <f>'1.ยาทั่วไป'!L6+'2.ยาแพทย์ PCC'!L6+'3.ยาเรื้อรัง 25%'!L6+'4.ยาเรื้อรังฟรี'!L6</f>
        <v>0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196825.96000000002</v>
      </c>
      <c r="P6" s="319">
        <f t="shared" si="0"/>
        <v>0.10499570851972126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14142.39</v>
      </c>
      <c r="E7" s="193">
        <f>'1.ยาทั่วไป'!E7+'2.ยาแพทย์ PCC'!E7+'3.ยาเรื้อรัง 25%'!E7+'4.ยาเรื้อรังฟรี'!E7</f>
        <v>14962.41</v>
      </c>
      <c r="F7" s="193">
        <f>'1.ยาทั่วไป'!F7+'2.ยาแพทย์ PCC'!F7+'3.ยาเรื้อรัง 25%'!F7+'4.ยาเรื้อรังฟรี'!F7</f>
        <v>20041.47</v>
      </c>
      <c r="G7" s="193">
        <f>'1.ยาทั่วไป'!G7+'2.ยาแพทย์ PCC'!G7+'3.ยาเรื้อรัง 25%'!G7+'4.ยาเรื้อรังฟรี'!G7</f>
        <v>23695.17</v>
      </c>
      <c r="H7" s="193">
        <f>'1.ยาทั่วไป'!H7+'2.ยาแพทย์ PCC'!H7+'3.ยาเรื้อรัง 25%'!H7+'4.ยาเรื้อรังฟรี'!H7</f>
        <v>0</v>
      </c>
      <c r="I7" s="193">
        <f>'1.ยาทั่วไป'!I7+'2.ยาแพทย์ PCC'!I7+'3.ยาเรื้อรัง 25%'!I7+'4.ยาเรื้อรังฟรี'!I7</f>
        <v>0</v>
      </c>
      <c r="J7" s="193">
        <f>'1.ยาทั่วไป'!J7+'2.ยาแพทย์ PCC'!J7+'3.ยาเรื้อรัง 25%'!J7+'4.ยาเรื้อรังฟรี'!J7</f>
        <v>0</v>
      </c>
      <c r="K7" s="193">
        <f>'1.ยาทั่วไป'!K7+'2.ยาแพทย์ PCC'!K7+'3.ยาเรื้อรัง 25%'!K7+'4.ยาเรื้อรังฟรี'!K7</f>
        <v>0</v>
      </c>
      <c r="L7" s="193">
        <f>'1.ยาทั่วไป'!L7+'2.ยาแพทย์ PCC'!L7+'3.ยาเรื้อรัง 25%'!L7+'4.ยาเรื้อรังฟรี'!L7</f>
        <v>0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75325.94</v>
      </c>
      <c r="P7" s="319">
        <f t="shared" si="0"/>
        <v>4.0182201779755129E-2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65351.58</v>
      </c>
      <c r="E8" s="193">
        <f>'1.ยาทั่วไป'!E8+'2.ยาแพทย์ PCC'!E8+'3.ยาเรื้อรัง 25%'!E8+'4.ยาเรื้อรังฟรี'!E8</f>
        <v>4567.9399999999996</v>
      </c>
      <c r="F8" s="193">
        <f>'1.ยาทั่วไป'!F8+'2.ยาแพทย์ PCC'!F8+'3.ยาเรื้อรัง 25%'!F8+'4.ยาเรื้อรังฟรี'!F8</f>
        <v>11017</v>
      </c>
      <c r="G8" s="193">
        <f>'1.ยาทั่วไป'!G8+'2.ยาแพทย์ PCC'!G8+'3.ยาเรื้อรัง 25%'!G8+'4.ยาเรื้อรังฟรี'!G8</f>
        <v>40905.08</v>
      </c>
      <c r="H8" s="193">
        <f>'1.ยาทั่วไป'!H8+'2.ยาแพทย์ PCC'!H8+'3.ยาเรื้อรัง 25%'!H8+'4.ยาเรื้อรังฟรี'!H8</f>
        <v>0</v>
      </c>
      <c r="I8" s="193">
        <f>'1.ยาทั่วไป'!I8+'2.ยาแพทย์ PCC'!I8+'3.ยาเรื้อรัง 25%'!I8+'4.ยาเรื้อรังฟรี'!I8</f>
        <v>0</v>
      </c>
      <c r="J8" s="193">
        <f>'1.ยาทั่วไป'!J8+'2.ยาแพทย์ PCC'!J8+'3.ยาเรื้อรัง 25%'!J8+'4.ยาเรื้อรังฟรี'!J8</f>
        <v>0</v>
      </c>
      <c r="K8" s="193">
        <f>'1.ยาทั่วไป'!K8+'2.ยาแพทย์ PCC'!K8+'3.ยาเรื้อรัง 25%'!K8+'4.ยาเรื้อรังฟรี'!K8</f>
        <v>0</v>
      </c>
      <c r="L8" s="193">
        <f>'1.ยาทั่วไป'!L8+'2.ยาแพทย์ PCC'!L8+'3.ยาเรื้อรัง 25%'!L8+'4.ยาเรื้อรังฟรี'!L8</f>
        <v>0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144982.64000000001</v>
      </c>
      <c r="P8" s="319">
        <f t="shared" si="0"/>
        <v>7.7340179160613171E-2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17058.55</v>
      </c>
      <c r="E9" s="193">
        <f>'1.ยาทั่วไป'!E9+'2.ยาแพทย์ PCC'!E9+'3.ยาเรื้อรัง 25%'!E9+'4.ยาเรื้อรังฟรี'!E9</f>
        <v>14676.029999999999</v>
      </c>
      <c r="F9" s="193">
        <f>'1.ยาทั่วไป'!F9+'2.ยาแพทย์ PCC'!F9+'3.ยาเรื้อรัง 25%'!F9+'4.ยาเรื้อรังฟรี'!F9</f>
        <v>38328.199999999997</v>
      </c>
      <c r="G9" s="193">
        <f>'1.ยาทั่วไป'!G9+'2.ยาแพทย์ PCC'!G9+'3.ยาเรื้อรัง 25%'!G9+'4.ยาเรื้อรังฟรี'!G9</f>
        <v>20024.2</v>
      </c>
      <c r="H9" s="193">
        <f>'1.ยาทั่วไป'!H9+'2.ยาแพทย์ PCC'!H9+'3.ยาเรื้อรัง 25%'!H9+'4.ยาเรื้อรังฟรี'!H9</f>
        <v>0</v>
      </c>
      <c r="I9" s="193">
        <f>'1.ยาทั่วไป'!I9+'2.ยาแพทย์ PCC'!I9+'3.ยาเรื้อรัง 25%'!I9+'4.ยาเรื้อรังฟรี'!I9</f>
        <v>0</v>
      </c>
      <c r="J9" s="193">
        <f>'1.ยาทั่วไป'!J9+'2.ยาแพทย์ PCC'!J9+'3.ยาเรื้อรัง 25%'!J9+'4.ยาเรื้อรังฟรี'!J9</f>
        <v>0</v>
      </c>
      <c r="K9" s="193">
        <f>'1.ยาทั่วไป'!K9+'2.ยาแพทย์ PCC'!K9+'3.ยาเรื้อรัง 25%'!K9+'4.ยาเรื้อรังฟรี'!K9</f>
        <v>0</v>
      </c>
      <c r="L9" s="193">
        <f>'1.ยาทั่วไป'!L9+'2.ยาแพทย์ PCC'!L9+'3.ยาเรื้อรัง 25%'!L9+'4.ยาเรื้อรังฟรี'!L9</f>
        <v>0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101600.57999999999</v>
      </c>
      <c r="P9" s="319">
        <f t="shared" si="0"/>
        <v>5.4198261667894924E-2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30634.43</v>
      </c>
      <c r="E10" s="193">
        <f>'1.ยาทั่วไป'!E10+'2.ยาแพทย์ PCC'!E10+'3.ยาเรื้อรัง 25%'!E10+'4.ยาเรื้อรังฟรี'!E10</f>
        <v>9476.98</v>
      </c>
      <c r="F10" s="193">
        <f>'1.ยาทั่วไป'!F10+'2.ยาแพทย์ PCC'!F10+'3.ยาเรื้อรัง 25%'!F10+'4.ยาเรื้อรังฟรี'!F10</f>
        <v>12449.27</v>
      </c>
      <c r="G10" s="193">
        <f>'1.ยาทั่วไป'!G10+'2.ยาแพทย์ PCC'!G10+'3.ยาเรื้อรัง 25%'!G10+'4.ยาเรื้อรังฟรี'!G10</f>
        <v>6078.6100000000006</v>
      </c>
      <c r="H10" s="193">
        <f>'1.ยาทั่วไป'!H10+'2.ยาแพทย์ PCC'!H10+'3.ยาเรื้อรัง 25%'!H10+'4.ยาเรื้อรังฟรี'!H10</f>
        <v>0</v>
      </c>
      <c r="I10" s="193">
        <f>'1.ยาทั่วไป'!I10+'2.ยาแพทย์ PCC'!I10+'3.ยาเรื้อรัง 25%'!I10+'4.ยาเรื้อรังฟรี'!I10</f>
        <v>0</v>
      </c>
      <c r="J10" s="193">
        <f>'1.ยาทั่วไป'!J10+'2.ยาแพทย์ PCC'!J10+'3.ยาเรื้อรัง 25%'!J10+'4.ยาเรื้อรังฟรี'!J10</f>
        <v>0</v>
      </c>
      <c r="K10" s="193">
        <f>'1.ยาทั่วไป'!K10+'2.ยาแพทย์ PCC'!K10+'3.ยาเรื้อรัง 25%'!K10+'4.ยาเรื้อรังฟรี'!K10</f>
        <v>0</v>
      </c>
      <c r="L10" s="193">
        <f>'1.ยาทั่วไป'!L10+'2.ยาแพทย์ PCC'!L10+'3.ยาเรื้อรัง 25%'!L10+'4.ยาเรื้อรังฟรี'!L10</f>
        <v>0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75858.400000000009</v>
      </c>
      <c r="P10" s="319">
        <f t="shared" si="0"/>
        <v>4.0466239591425965E-2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14285.79</v>
      </c>
      <c r="E11" s="193">
        <f>'1.ยาทั่วไป'!E11+'2.ยาแพทย์ PCC'!E11+'3.ยาเรื้อรัง 25%'!E11+'4.ยาเรื้อรังฟรี'!E11</f>
        <v>6854.95</v>
      </c>
      <c r="F11" s="193">
        <f>'1.ยาทั่วไป'!F11+'2.ยาแพทย์ PCC'!F11+'3.ยาเรื้อรัง 25%'!F11+'4.ยาเรื้อรังฟรี'!F11</f>
        <v>28836.6</v>
      </c>
      <c r="G11" s="193">
        <f>'1.ยาทั่วไป'!G11+'2.ยาแพทย์ PCC'!G11+'3.ยาเรื้อรัง 25%'!G11+'4.ยาเรื้อรังฟรี'!G11</f>
        <v>19109.07</v>
      </c>
      <c r="H11" s="193">
        <f>'1.ยาทั่วไป'!H11+'2.ยาแพทย์ PCC'!H11+'3.ยาเรื้อรัง 25%'!H11+'4.ยาเรื้อรังฟรี'!H11</f>
        <v>0</v>
      </c>
      <c r="I11" s="193">
        <f>'1.ยาทั่วไป'!I11+'2.ยาแพทย์ PCC'!I11+'3.ยาเรื้อรัง 25%'!I11+'4.ยาเรื้อรังฟรี'!I11</f>
        <v>0</v>
      </c>
      <c r="J11" s="193">
        <f>'1.ยาทั่วไป'!J11+'2.ยาแพทย์ PCC'!J11+'3.ยาเรื้อรัง 25%'!J11+'4.ยาเรื้อรังฟรี'!J11</f>
        <v>0</v>
      </c>
      <c r="K11" s="193">
        <f>'1.ยาทั่วไป'!K11+'2.ยาแพทย์ PCC'!K11+'3.ยาเรื้อรัง 25%'!K11+'4.ยาเรื้อรังฟรี'!K11</f>
        <v>0</v>
      </c>
      <c r="L11" s="193">
        <f>'1.ยาทั่วไป'!L11+'2.ยาแพทย์ PCC'!L11+'3.ยาเรื้อรัง 25%'!L11+'4.ยาเรื้อรังฟรี'!L11</f>
        <v>0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78142.41</v>
      </c>
      <c r="P11" s="319">
        <f t="shared" si="0"/>
        <v>4.1684631963123928E-2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73402.47</v>
      </c>
      <c r="E12" s="193">
        <f>'1.ยาทั่วไป'!E12+'2.ยาแพทย์ PCC'!E12+'3.ยาเรื้อรัง 25%'!E12+'4.ยาเรื้อรังฟรี'!E12</f>
        <v>27802.13</v>
      </c>
      <c r="F12" s="193">
        <f>'1.ยาทั่วไป'!F12+'2.ยาแพทย์ PCC'!F12+'3.ยาเรื้อรัง 25%'!F12+'4.ยาเรื้อรังฟรี'!F12</f>
        <v>47119.25</v>
      </c>
      <c r="G12" s="193">
        <f>'1.ยาทั่วไป'!G12+'2.ยาแพทย์ PCC'!G12+'3.ยาเรื้อรัง 25%'!G12+'4.ยาเรื้อรังฟรี'!G12</f>
        <v>11003.25</v>
      </c>
      <c r="H12" s="193">
        <f>'1.ยาทั่วไป'!H12+'2.ยาแพทย์ PCC'!H12+'3.ยาเรื้อรัง 25%'!H12+'4.ยาเรื้อรังฟรี'!H12</f>
        <v>0</v>
      </c>
      <c r="I12" s="193">
        <f>'1.ยาทั่วไป'!I12+'2.ยาแพทย์ PCC'!I12+'3.ยาเรื้อรัง 25%'!I12+'4.ยาเรื้อรังฟรี'!I12</f>
        <v>0</v>
      </c>
      <c r="J12" s="193">
        <f>'1.ยาทั่วไป'!J12+'2.ยาแพทย์ PCC'!J12+'3.ยาเรื้อรัง 25%'!J12+'4.ยาเรื้อรังฟรี'!J12</f>
        <v>0</v>
      </c>
      <c r="K12" s="193">
        <f>'1.ยาทั่วไป'!K12+'2.ยาแพทย์ PCC'!K12+'3.ยาเรื้อรัง 25%'!K12+'4.ยาเรื้อรังฟรี'!K12</f>
        <v>0</v>
      </c>
      <c r="L12" s="193">
        <f>'1.ยาทั่วไป'!L12+'2.ยาแพทย์ PCC'!L12+'3.ยาเรื้อรัง 25%'!L12+'4.ยาเรื้อรังฟรี'!L12</f>
        <v>0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173362.1</v>
      </c>
      <c r="P12" s="319">
        <f t="shared" si="0"/>
        <v>9.2479043516245363E-2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15020.320000000002</v>
      </c>
      <c r="E13" s="193">
        <f>'1.ยาทั่วไป'!E13+'2.ยาแพทย์ PCC'!E13+'3.ยาเรื้อรัง 25%'!E13+'4.ยาเรื้อรังฟรี'!E13</f>
        <v>20559.04</v>
      </c>
      <c r="F13" s="193">
        <f>'1.ยาทั่วไป'!F13+'2.ยาแพทย์ PCC'!F13+'3.ยาเรื้อรัง 25%'!F13+'4.ยาเรื้อรังฟรี'!F13</f>
        <v>17466.22</v>
      </c>
      <c r="G13" s="193">
        <f>'1.ยาทั่วไป'!G13+'2.ยาแพทย์ PCC'!G13+'3.ยาเรื้อรัง 25%'!G13+'4.ยาเรื้อรังฟรี'!G13</f>
        <v>11390.17</v>
      </c>
      <c r="H13" s="193">
        <f>'1.ยาทั่วไป'!H13+'2.ยาแพทย์ PCC'!H13+'3.ยาเรื้อรัง 25%'!H13+'4.ยาเรื้อรังฟรี'!H13</f>
        <v>0</v>
      </c>
      <c r="I13" s="193">
        <f>'1.ยาทั่วไป'!I13+'2.ยาแพทย์ PCC'!I13+'3.ยาเรื้อรัง 25%'!I13+'4.ยาเรื้อรังฟรี'!I13</f>
        <v>0</v>
      </c>
      <c r="J13" s="193">
        <f>'1.ยาทั่วไป'!J13+'2.ยาแพทย์ PCC'!J13+'3.ยาเรื้อรัง 25%'!J13+'4.ยาเรื้อรังฟรี'!J13</f>
        <v>0</v>
      </c>
      <c r="K13" s="193">
        <f>'1.ยาทั่วไป'!K13+'2.ยาแพทย์ PCC'!K13+'3.ยาเรื้อรัง 25%'!K13+'4.ยาเรื้อรังฟรี'!K13</f>
        <v>0</v>
      </c>
      <c r="L13" s="193">
        <f>'1.ยาทั่วไป'!L13+'2.ยาแพทย์ PCC'!L13+'3.ยาเรื้อรัง 25%'!L13+'4.ยาเรื้อรังฟรี'!L13</f>
        <v>0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82551.56</v>
      </c>
      <c r="P13" s="319">
        <f t="shared" si="0"/>
        <v>4.4036668392768312E-2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6980.38</v>
      </c>
      <c r="E14" s="193">
        <f>'1.ยาทั่วไป'!E14+'2.ยาแพทย์ PCC'!E14+'3.ยาเรื้อรัง 25%'!E14+'4.ยาเรื้อรังฟรี'!E14</f>
        <v>5220.33</v>
      </c>
      <c r="F14" s="193">
        <f>'1.ยาทั่วไป'!F14+'2.ยาแพทย์ PCC'!F14+'3.ยาเรื้อรัง 25%'!F14+'4.ยาเรื้อรังฟรี'!F14</f>
        <v>13675.939999999999</v>
      </c>
      <c r="G14" s="193">
        <f>'1.ยาทั่วไป'!G14+'2.ยาแพทย์ PCC'!G14+'3.ยาเรื้อรัง 25%'!G14+'4.ยาเรื้อรังฟรี'!G14</f>
        <v>780</v>
      </c>
      <c r="H14" s="193">
        <f>'1.ยาทั่วไป'!H14+'2.ยาแพทย์ PCC'!H14+'3.ยาเรื้อรัง 25%'!H14+'4.ยาเรื้อรังฟรี'!H14</f>
        <v>0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0</v>
      </c>
      <c r="K14" s="193">
        <f>'1.ยาทั่วไป'!K14+'2.ยาแพทย์ PCC'!K14+'3.ยาเรื้อรัง 25%'!K14+'4.ยาเรื้อรังฟรี'!K14</f>
        <v>0</v>
      </c>
      <c r="L14" s="193">
        <f>'1.ยาทั่วไป'!L14+'2.ยาแพทย์ PCC'!L14+'3.ยาเรื้อรัง 25%'!L14+'4.ยาเรื้อรังฟรี'!L14</f>
        <v>0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44289.709999999992</v>
      </c>
      <c r="P14" s="319">
        <f t="shared" si="0"/>
        <v>2.3626098313367722E-2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15677.63</v>
      </c>
      <c r="E15" s="193">
        <f>'1.ยาทั่วไป'!E15+'2.ยาแพทย์ PCC'!E15+'3.ยาเรื้อรัง 25%'!E15+'4.ยาเรื้อรังฟรี'!E15</f>
        <v>2373.1</v>
      </c>
      <c r="F15" s="193">
        <f>'1.ยาทั่วไป'!F15+'2.ยาแพทย์ PCC'!F15+'3.ยาเรื้อรัง 25%'!F15+'4.ยาเรื้อรังฟรี'!F15</f>
        <v>35588.490000000005</v>
      </c>
      <c r="G15" s="193">
        <f>'1.ยาทั่วไป'!G15+'2.ยาแพทย์ PCC'!G15+'3.ยาเรื้อรัง 25%'!G15+'4.ยาเรื้อรังฟรี'!G15</f>
        <v>18141.32</v>
      </c>
      <c r="H15" s="193">
        <f>'1.ยาทั่วไป'!H15+'2.ยาแพทย์ PCC'!H15+'3.ยาเรื้อรัง 25%'!H15+'4.ยาเรื้อรังฟรี'!H15</f>
        <v>0</v>
      </c>
      <c r="I15" s="193">
        <f>'1.ยาทั่วไป'!I15+'2.ยาแพทย์ PCC'!I15+'3.ยาเรื้อรัง 25%'!I15+'4.ยาเรื้อรังฟรี'!I15</f>
        <v>0</v>
      </c>
      <c r="J15" s="193">
        <f>'1.ยาทั่วไป'!J15+'2.ยาแพทย์ PCC'!J15+'3.ยาเรื้อรัง 25%'!J15+'4.ยาเรื้อรังฟรี'!J15</f>
        <v>0</v>
      </c>
      <c r="K15" s="193">
        <f>'1.ยาทั่วไป'!K15+'2.ยาแพทย์ PCC'!K15+'3.ยาเรื้อรัง 25%'!K15+'4.ยาเรื้อรังฟรี'!K15</f>
        <v>0</v>
      </c>
      <c r="L15" s="193">
        <f>'1.ยาทั่วไป'!L15+'2.ยาแพทย์ PCC'!L15+'3.ยาเรื้อรัง 25%'!L15+'4.ยาเรื้อรังฟรี'!L15</f>
        <v>0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99687.63</v>
      </c>
      <c r="P15" s="319">
        <f t="shared" si="0"/>
        <v>5.3177809179753628E-2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9146.1</v>
      </c>
      <c r="E16" s="193">
        <f>'1.ยาทั่วไป'!E16+'2.ยาแพทย์ PCC'!E16+'3.ยาเรื้อรัง 25%'!E16+'4.ยาเรื้อรังฟรี'!E16</f>
        <v>11570.3</v>
      </c>
      <c r="F16" s="193">
        <f>'1.ยาทั่วไป'!F16+'2.ยาแพทย์ PCC'!F16+'3.ยาเรื้อรัง 25%'!F16+'4.ยาเรื้อรังฟรี'!F16</f>
        <v>8068.3600000000006</v>
      </c>
      <c r="G16" s="193">
        <f>'1.ยาทั่วไป'!G16+'2.ยาแพทย์ PCC'!G16+'3.ยาเรื้อรัง 25%'!G16+'4.ยาเรื้อรังฟรี'!G16</f>
        <v>10562.09</v>
      </c>
      <c r="H16" s="193">
        <f>'1.ยาทั่วไป'!H16+'2.ยาแพทย์ PCC'!H16+'3.ยาเรื้อรัง 25%'!H16+'4.ยาเรื้อรังฟรี'!H16</f>
        <v>0</v>
      </c>
      <c r="I16" s="193">
        <f>'1.ยาทั่วไป'!I16+'2.ยาแพทย์ PCC'!I16+'3.ยาเรื้อรัง 25%'!I16+'4.ยาเรื้อรังฟรี'!I16</f>
        <v>0</v>
      </c>
      <c r="J16" s="193">
        <f>'1.ยาทั่วไป'!J16+'2.ยาแพทย์ PCC'!J16+'3.ยาเรื้อรัง 25%'!J16+'4.ยาเรื้อรังฟรี'!J16</f>
        <v>0</v>
      </c>
      <c r="K16" s="193">
        <f>'1.ยาทั่วไป'!K16+'2.ยาแพทย์ PCC'!K16+'3.ยาเรื้อรัง 25%'!K16+'4.ยาเรื้อรังฟรี'!K16</f>
        <v>0</v>
      </c>
      <c r="L16" s="193">
        <f>'1.ยาทั่วไป'!L16+'2.ยาแพทย์ PCC'!L16+'3.ยาเรื้อรัง 25%'!L16+'4.ยาเรื้อรังฟรี'!L16</f>
        <v>0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52617.399999999994</v>
      </c>
      <c r="P16" s="319">
        <f t="shared" si="0"/>
        <v>2.8068458009632369E-2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355.44</v>
      </c>
      <c r="E17" s="193">
        <f>'1.ยาทั่วไป'!E17+'2.ยาแพทย์ PCC'!E17+'3.ยาเรื้อรัง 25%'!E17+'4.ยาเรื้อรังฟรี'!E17</f>
        <v>15658.08</v>
      </c>
      <c r="F17" s="193">
        <f>'1.ยาทั่วไป'!F17+'2.ยาแพทย์ PCC'!F17+'3.ยาเรื้อรัง 25%'!F17+'4.ยาเรื้อรังฟรี'!F17</f>
        <v>43357.509999999995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0</v>
      </c>
      <c r="I17" s="193">
        <f>'1.ยาทั่วไป'!I17+'2.ยาแพทย์ PCC'!I17+'3.ยาเรื้อรัง 25%'!I17+'4.ยาเรื้อรังฟรี'!I17</f>
        <v>0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0</v>
      </c>
      <c r="L17" s="193">
        <f>'1.ยาทั่วไป'!L17+'2.ยาแพทย์ PCC'!L17+'3.ยาเรื้อรัง 25%'!L17+'4.ยาเรื้อรังฟรี'!L17</f>
        <v>0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73692.03</v>
      </c>
      <c r="P17" s="319">
        <f t="shared" si="0"/>
        <v>3.9310601620368341E-2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7097.82</v>
      </c>
      <c r="E18" s="193">
        <f>'1.ยาทั่วไป'!E18+'2.ยาแพทย์ PCC'!E18+'3.ยาเรื้อรัง 25%'!E18+'4.ยาเรื้อรังฟรี'!E18</f>
        <v>10179.59</v>
      </c>
      <c r="F18" s="193">
        <f>'1.ยาทั่วไป'!F18+'2.ยาแพทย์ PCC'!F18+'3.ยาเรื้อรัง 25%'!F18+'4.ยาเรื้อรังฟรี'!F18</f>
        <v>6616.52</v>
      </c>
      <c r="G18" s="193">
        <f>'1.ยาทั่วไป'!G18+'2.ยาแพทย์ PCC'!G18+'3.ยาเรื้อรัง 25%'!G18+'4.ยาเรื้อรังฟรี'!G18</f>
        <v>11227.51</v>
      </c>
      <c r="H18" s="193">
        <f>'1.ยาทั่วไป'!H18+'2.ยาแพทย์ PCC'!H18+'3.ยาเรื้อรัง 25%'!H18+'4.ยาเรื้อรังฟรี'!H18</f>
        <v>0</v>
      </c>
      <c r="I18" s="193">
        <f>'1.ยาทั่วไป'!I18+'2.ยาแพทย์ PCC'!I18+'3.ยาเรื้อรัง 25%'!I18+'4.ยาเรื้อรังฟรี'!I18</f>
        <v>0</v>
      </c>
      <c r="J18" s="193">
        <f>'1.ยาทั่วไป'!J18+'2.ยาแพทย์ PCC'!J18+'3.ยาเรื้อรัง 25%'!J18+'4.ยาเรื้อรังฟรี'!J18</f>
        <v>0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0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49165.640000000007</v>
      </c>
      <c r="P18" s="319">
        <f t="shared" si="0"/>
        <v>2.622713592569572E-2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18335.96</v>
      </c>
      <c r="E19" s="193">
        <f>'1.ยาทั่วไป'!E19+'2.ยาแพทย์ PCC'!E19+'3.ยาเรื้อรัง 25%'!E19+'4.ยาเรื้อรังฟรี'!E19</f>
        <v>26410.31</v>
      </c>
      <c r="F19" s="193">
        <f>'1.ยาทั่วไป'!F19+'2.ยาแพทย์ PCC'!F19+'3.ยาเรื้อรัง 25%'!F19+'4.ยาเรื้อรังฟรี'!F19</f>
        <v>13477.5</v>
      </c>
      <c r="G19" s="193">
        <f>'1.ยาทั่วไป'!G19+'2.ยาแพทย์ PCC'!G19+'3.ยาเรื้อรัง 25%'!G19+'4.ยาเรื้อรังฟรี'!G19</f>
        <v>47333.1</v>
      </c>
      <c r="H19" s="193">
        <f>'1.ยาทั่วไป'!H19+'2.ยาแพทย์ PCC'!H19+'3.ยาเรื้อรัง 25%'!H19+'4.ยาเรื้อรังฟรี'!H19</f>
        <v>0</v>
      </c>
      <c r="I19" s="193">
        <f>'1.ยาทั่วไป'!I19+'2.ยาแพทย์ PCC'!I19+'3.ยาเรื้อรัง 25%'!I19+'4.ยาเรื้อรังฟรี'!I19</f>
        <v>0</v>
      </c>
      <c r="J19" s="193">
        <f>'1.ยาทั่วไป'!J19+'2.ยาแพทย์ PCC'!J19+'3.ยาเรื้อรัง 25%'!J19+'4.ยาเรื้อรังฟรี'!J19</f>
        <v>0</v>
      </c>
      <c r="K19" s="193">
        <f>'1.ยาทั่วไป'!K19+'2.ยาแพทย์ PCC'!K19+'3.ยาเรื้อรัง 25%'!K19+'4.ยาเรื้อรังฟรี'!K19</f>
        <v>0</v>
      </c>
      <c r="L19" s="193">
        <f>'1.ยาทั่วไป'!L19+'2.ยาแพทย์ PCC'!L19+'3.ยาเรื้อรัง 25%'!L19+'4.ยาเรื้อรังฟรี'!L19</f>
        <v>0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114116.87</v>
      </c>
      <c r="P19" s="319">
        <f t="shared" si="0"/>
        <v>6.0875006628713618E-2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11166</v>
      </c>
      <c r="F20" s="193">
        <f>'1.ยาทั่วไป'!F20+'2.ยาแพทย์ PCC'!F20+'3.ยาเรื้อรัง 25%'!F20+'4.ยาเรื้อรังฟรี'!F20</f>
        <v>13952.2</v>
      </c>
      <c r="G20" s="193">
        <f>'1.ยาทั่วไป'!G20+'2.ยาแพทย์ PCC'!G20+'3.ยาเรื้อรัง 25%'!G20+'4.ยาเรื้อรังฟรี'!G20</f>
        <v>18005.449999999997</v>
      </c>
      <c r="H20" s="193">
        <f>'1.ยาทั่วไป'!H20+'2.ยาแพทย์ PCC'!H20+'3.ยาเรื้อรัง 25%'!H20+'4.ยาเรื้อรังฟรี'!H20</f>
        <v>0</v>
      </c>
      <c r="I20" s="193">
        <f>'1.ยาทั่วไป'!I20+'2.ยาแพทย์ PCC'!I20+'3.ยาเรื้อรัง 25%'!I20+'4.ยาเรื้อรังฟรี'!I20</f>
        <v>0</v>
      </c>
      <c r="J20" s="193">
        <f>'1.ยาทั่วไป'!J20+'2.ยาแพทย์ PCC'!J20+'3.ยาเรื้อรัง 25%'!J20+'4.ยาเรื้อรังฟรี'!J20</f>
        <v>0</v>
      </c>
      <c r="K20" s="193">
        <f>'1.ยาทั่วไป'!K20+'2.ยาแพทย์ PCC'!K20+'3.ยาเรื้อรัง 25%'!K20+'4.ยาเรื้อรังฟรี'!K20</f>
        <v>0</v>
      </c>
      <c r="L20" s="193">
        <f>'1.ยาทั่วไป'!L20+'2.ยาแพทย์ PCC'!L20+'3.ยาเรื้อรัง 25%'!L20+'4.ยาเรื้อรังฟรี'!L20</f>
        <v>0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61265.83</v>
      </c>
      <c r="P20" s="319">
        <f t="shared" si="0"/>
        <v>3.2681914666636426E-2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17908.989999999998</v>
      </c>
      <c r="E21" s="193">
        <f>'1.ยาทั่วไป'!E21+'2.ยาแพทย์ PCC'!E21+'3.ยาเรื้อรัง 25%'!E21+'4.ยาเรื้อรังฟรี'!E21</f>
        <v>14141.57</v>
      </c>
      <c r="F21" s="193">
        <f>'1.ยาทั่วไป'!F21+'2.ยาแพทย์ PCC'!F21+'3.ยาเรื้อรัง 25%'!F21+'4.ยาเรื้อรังฟรี'!F21</f>
        <v>18817.66</v>
      </c>
      <c r="G21" s="193">
        <f>'1.ยาทั่วไป'!G21+'2.ยาแพทย์ PCC'!G21+'3.ยาเรื้อรัง 25%'!G21+'4.ยาเรื้อรังฟรี'!G21</f>
        <v>19003.87</v>
      </c>
      <c r="H21" s="193">
        <f>'1.ยาทั่วไป'!H21+'2.ยาแพทย์ PCC'!H21+'3.ยาเรื้อรัง 25%'!H21+'4.ยาเรื้อรังฟรี'!H21</f>
        <v>0</v>
      </c>
      <c r="I21" s="193">
        <f>'1.ยาทั่วไป'!I21+'2.ยาแพทย์ PCC'!I21+'3.ยาเรื้อรัง 25%'!I21+'4.ยาเรื้อรังฟรี'!I21</f>
        <v>0</v>
      </c>
      <c r="J21" s="193">
        <f>'1.ยาทั่วไป'!J21+'2.ยาแพทย์ PCC'!J21+'3.ยาเรื้อรัง 25%'!J21+'4.ยาเรื้อรังฟรี'!J21</f>
        <v>0</v>
      </c>
      <c r="K21" s="193">
        <f>'1.ยาทั่วไป'!K21+'2.ยาแพทย์ PCC'!K21+'3.ยาเรื้อรัง 25%'!K21+'4.ยาเรื้อรังฟรี'!K21</f>
        <v>0</v>
      </c>
      <c r="L21" s="193">
        <f>'1.ยาทั่วไป'!L21+'2.ยาแพทย์ PCC'!L21+'3.ยาเรื้อรัง 25%'!L21+'4.ยาเรื้อรังฟรี'!L21</f>
        <v>0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87979.199999999997</v>
      </c>
      <c r="P21" s="319">
        <f t="shared" si="0"/>
        <v>4.6932012621700207E-2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3503.1</v>
      </c>
      <c r="E22" s="193">
        <f>'1.ยาทั่วไป'!E22+'2.ยาแพทย์ PCC'!E22+'3.ยาเรื้อรัง 25%'!E22+'4.ยาเรื้อรังฟรี'!E22</f>
        <v>11983.75</v>
      </c>
      <c r="F22" s="193">
        <f>'1.ยาทั่วไป'!F22+'2.ยาแพทย์ PCC'!F22+'3.ยาเรื้อรัง 25%'!F22+'4.ยาเรื้อรังฟรี'!F22</f>
        <v>8402.0300000000007</v>
      </c>
      <c r="G22" s="193">
        <f>'1.ยาทั่วไป'!G22+'2.ยาแพทย์ PCC'!G22+'3.ยาเรื้อรัง 25%'!G22+'4.ยาเรื้อรังฟรี'!G22</f>
        <v>7571.19</v>
      </c>
      <c r="H22" s="193">
        <f>'1.ยาทั่วไป'!H22+'2.ยาแพทย์ PCC'!H22+'3.ยาเรื้อรัง 25%'!H22+'4.ยาเรื้อรังฟรี'!H22</f>
        <v>0</v>
      </c>
      <c r="I22" s="193">
        <f>'1.ยาทั่วไป'!I22+'2.ยาแพทย์ PCC'!I22+'3.ยาเรื้อรัง 25%'!I22+'4.ยาเรื้อรังฟรี'!I22</f>
        <v>0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0</v>
      </c>
      <c r="L22" s="193">
        <f>'1.ยาทั่วไป'!L22+'2.ยาแพทย์ PCC'!L22+'3.ยาเรื้อรัง 25%'!L22+'4.ยาเรื้อรังฟรี'!L22</f>
        <v>0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36980.25</v>
      </c>
      <c r="P22" s="319">
        <f t="shared" si="0"/>
        <v>1.9726907720843439E-2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397104.76</v>
      </c>
      <c r="E23" s="195">
        <f t="shared" si="2"/>
        <v>322466.82</v>
      </c>
      <c r="F23" s="195">
        <f t="shared" si="2"/>
        <v>457012.75000000006</v>
      </c>
      <c r="G23" s="195">
        <f t="shared" si="2"/>
        <v>376737.46</v>
      </c>
      <c r="H23" s="195">
        <f t="shared" si="2"/>
        <v>0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316">
        <f t="shared" si="1"/>
        <v>1874609.57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9518.1</v>
      </c>
      <c r="E24" s="193">
        <f>'1.ยาทั่วไป'!E24</f>
        <v>40425.450000000004</v>
      </c>
      <c r="F24" s="193">
        <f>'1.ยาทั่วไป'!F24</f>
        <v>72376.180000000008</v>
      </c>
      <c r="G24" s="193">
        <f>'1.ยาทั่วไป'!G24</f>
        <v>54101.73</v>
      </c>
      <c r="H24" s="193">
        <f>'1.ยาทั่วไป'!H24</f>
        <v>0</v>
      </c>
      <c r="I24" s="193">
        <f>'1.ยาทั่วไป'!I24</f>
        <v>0</v>
      </c>
      <c r="J24" s="193">
        <f>'1.ยาทั่วไป'!J24</f>
        <v>0</v>
      </c>
      <c r="K24" s="193">
        <f>'1.ยาทั่วไป'!K24</f>
        <v>0</v>
      </c>
      <c r="L24" s="193">
        <f>'1.ยาทั่วไป'!L24</f>
        <v>0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202729.01000000004</v>
      </c>
      <c r="P24" s="319">
        <f t="shared" si="0"/>
        <v>0.10814465755661326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9518.1</v>
      </c>
      <c r="E26" s="196">
        <f t="shared" si="3"/>
        <v>40425.450000000004</v>
      </c>
      <c r="F26" s="196">
        <f t="shared" si="3"/>
        <v>72376.180000000008</v>
      </c>
      <c r="G26" s="196">
        <f t="shared" si="3"/>
        <v>54101.73</v>
      </c>
      <c r="H26" s="196">
        <f t="shared" si="3"/>
        <v>0</v>
      </c>
      <c r="I26" s="196">
        <f t="shared" si="3"/>
        <v>0</v>
      </c>
      <c r="J26" s="196">
        <f t="shared" si="3"/>
        <v>0</v>
      </c>
      <c r="K26" s="196">
        <f t="shared" si="3"/>
        <v>0</v>
      </c>
      <c r="L26" s="196">
        <f t="shared" si="3"/>
        <v>0</v>
      </c>
      <c r="M26" s="196">
        <f t="shared" si="3"/>
        <v>0</v>
      </c>
      <c r="N26" s="196">
        <f t="shared" si="3"/>
        <v>0</v>
      </c>
      <c r="O26" s="317">
        <f t="shared" si="1"/>
        <v>202729.01000000004</v>
      </c>
      <c r="P26" s="324">
        <f t="shared" si="0"/>
        <v>0.10814465755661326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406622.86</v>
      </c>
      <c r="E27" s="205">
        <f t="shared" si="4"/>
        <v>362892.27</v>
      </c>
      <c r="F27" s="205">
        <f t="shared" si="4"/>
        <v>529388.93000000005</v>
      </c>
      <c r="G27" s="205">
        <f t="shared" si="4"/>
        <v>430839.19</v>
      </c>
      <c r="H27" s="205">
        <f t="shared" si="4"/>
        <v>0</v>
      </c>
      <c r="I27" s="205">
        <f t="shared" si="4"/>
        <v>0</v>
      </c>
      <c r="J27" s="205">
        <f t="shared" si="4"/>
        <v>0</v>
      </c>
      <c r="K27" s="205">
        <f t="shared" si="4"/>
        <v>0</v>
      </c>
      <c r="L27" s="205">
        <f t="shared" si="4"/>
        <v>0</v>
      </c>
      <c r="M27" s="205">
        <f t="shared" si="4"/>
        <v>0</v>
      </c>
      <c r="N27" s="205">
        <f t="shared" si="4"/>
        <v>0</v>
      </c>
      <c r="O27" s="205">
        <f t="shared" si="1"/>
        <v>2077338.58</v>
      </c>
      <c r="P27" s="325">
        <f t="shared" si="0"/>
        <v>1.1081446575566132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28/2/62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46399.59</v>
      </c>
      <c r="E5" s="202">
        <f>'1.1รวมยาทั้งหมด(1+2+3+4)'!E5+'5.vaccine'!E5</f>
        <v>82397.119999999995</v>
      </c>
      <c r="F5" s="202">
        <f>'1.1รวมยาทั้งหมด(1+2+3+4)'!F5+'5.vaccine'!F5</f>
        <v>73301.430000000008</v>
      </c>
      <c r="G5" s="202">
        <f>'1.1รวมยาทั้งหมด(1+2+3+4)'!G5+'5.vaccine'!G5</f>
        <v>79548.09</v>
      </c>
      <c r="H5" s="202">
        <f>'1.1รวมยาทั้งหมด(1+2+3+4)'!H5+'5.vaccine'!H5</f>
        <v>0</v>
      </c>
      <c r="I5" s="202">
        <f>'1.1รวมยาทั้งหมด(1+2+3+4)'!I5+'5.vaccine'!I5</f>
        <v>0</v>
      </c>
      <c r="J5" s="202">
        <f>'1.1รวมยาทั้งหมด(1+2+3+4)'!J5+'5.vaccine'!J5</f>
        <v>0</v>
      </c>
      <c r="K5" s="202">
        <f>'1.1รวมยาทั้งหมด(1+2+3+4)'!K5+'5.vaccine'!K5</f>
        <v>0</v>
      </c>
      <c r="L5" s="202">
        <f>'1.1รวมยาทั้งหมด(1+2+3+4)'!L5+'5.vaccine'!L5</f>
        <v>0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356527.65</v>
      </c>
      <c r="P5" s="330">
        <f t="shared" ref="P5:P27" si="0">O5/$O$23</f>
        <v>0.14400624782735055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52612.639999999999</v>
      </c>
      <c r="E6" s="202">
        <f>'1.1รวมยาทั้งหมด(1+2+3+4)'!E6+'5.vaccine'!E6</f>
        <v>44062.33</v>
      </c>
      <c r="F6" s="202">
        <f>'1.1รวมยาทั้งหมด(1+2+3+4)'!F6+'5.vaccine'!F6</f>
        <v>48766.12</v>
      </c>
      <c r="G6" s="202">
        <f>'1.1รวมยาทั้งหมด(1+2+3+4)'!G6+'5.vaccine'!G6</f>
        <v>49393.68</v>
      </c>
      <c r="H6" s="202">
        <f>'1.1รวมยาทั้งหมด(1+2+3+4)'!H6+'5.vaccine'!H6</f>
        <v>0</v>
      </c>
      <c r="I6" s="202">
        <f>'1.1รวมยาทั้งหมด(1+2+3+4)'!I6+'5.vaccine'!I6</f>
        <v>0</v>
      </c>
      <c r="J6" s="202">
        <f>'1.1รวมยาทั้งหมด(1+2+3+4)'!J6+'5.vaccine'!J6</f>
        <v>0</v>
      </c>
      <c r="K6" s="202">
        <f>'1.1รวมยาทั้งหมด(1+2+3+4)'!K6+'5.vaccine'!K6</f>
        <v>0</v>
      </c>
      <c r="L6" s="202">
        <f>'1.1รวมยาทั้งหมด(1+2+3+4)'!L6+'5.vaccine'!L6</f>
        <v>0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220726.65</v>
      </c>
      <c r="P6" s="330">
        <f t="shared" si="0"/>
        <v>8.915442227833062E-2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16573.09</v>
      </c>
      <c r="E7" s="202">
        <f>'1.1รวมยาทั้งหมด(1+2+3+4)'!E7+'5.vaccine'!E7</f>
        <v>17431.27</v>
      </c>
      <c r="F7" s="202">
        <f>'1.1รวมยาทั้งหมด(1+2+3+4)'!F7+'5.vaccine'!F7</f>
        <v>24430.190000000002</v>
      </c>
      <c r="G7" s="202">
        <f>'1.1รวมยาทั้งหมด(1+2+3+4)'!G7+'5.vaccine'!G7</f>
        <v>26673.48</v>
      </c>
      <c r="H7" s="202">
        <f>'1.1รวมยาทั้งหมด(1+2+3+4)'!H7+'5.vaccine'!H7</f>
        <v>0</v>
      </c>
      <c r="I7" s="202">
        <f>'1.1รวมยาทั้งหมด(1+2+3+4)'!I7+'5.vaccine'!I7</f>
        <v>0</v>
      </c>
      <c r="J7" s="202">
        <f>'1.1รวมยาทั้งหมด(1+2+3+4)'!J7+'5.vaccine'!J7</f>
        <v>0</v>
      </c>
      <c r="K7" s="202">
        <f>'1.1รวมยาทั้งหมด(1+2+3+4)'!K7+'5.vaccine'!K7</f>
        <v>0</v>
      </c>
      <c r="L7" s="202">
        <f>'1.1รวมยาทั้งหมด(1+2+3+4)'!L7+'5.vaccine'!L7</f>
        <v>0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90270.21</v>
      </c>
      <c r="P7" s="330">
        <f t="shared" si="0"/>
        <v>3.646133541868906E-2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75507.510000000009</v>
      </c>
      <c r="E8" s="202">
        <f>'1.1รวมยาทั้งหมด(1+2+3+4)'!E8+'5.vaccine'!E8</f>
        <v>13082.310000000001</v>
      </c>
      <c r="F8" s="202">
        <f>'1.1รวมยาทั้งหมด(1+2+3+4)'!F8+'5.vaccine'!F8</f>
        <v>23603.510000000002</v>
      </c>
      <c r="G8" s="202">
        <f>'1.1รวมยาทั้งหมด(1+2+3+4)'!G8+'5.vaccine'!G8</f>
        <v>49739.15</v>
      </c>
      <c r="H8" s="202">
        <f>'1.1รวมยาทั้งหมด(1+2+3+4)'!H8+'5.vaccine'!H8</f>
        <v>0</v>
      </c>
      <c r="I8" s="202">
        <f>'1.1รวมยาทั้งหมด(1+2+3+4)'!I8+'5.vaccine'!I8</f>
        <v>0</v>
      </c>
      <c r="J8" s="202">
        <f>'1.1รวมยาทั้งหมด(1+2+3+4)'!J8+'5.vaccine'!J8</f>
        <v>0</v>
      </c>
      <c r="K8" s="202">
        <f>'1.1รวมยาทั้งหมด(1+2+3+4)'!K8+'5.vaccine'!K8</f>
        <v>0</v>
      </c>
      <c r="L8" s="202">
        <f>'1.1รวมยาทั้งหมด(1+2+3+4)'!L8+'5.vaccine'!L8</f>
        <v>0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339901.21000000008</v>
      </c>
      <c r="P8" s="330">
        <f t="shared" si="0"/>
        <v>0.13729060813116831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21963.559999999998</v>
      </c>
      <c r="E9" s="202">
        <f>'1.1รวมยาทั้งหมด(1+2+3+4)'!E9+'5.vaccine'!E9</f>
        <v>14676.029999999999</v>
      </c>
      <c r="F9" s="202">
        <f>'1.1รวมยาทั้งหมด(1+2+3+4)'!F9+'5.vaccine'!F9</f>
        <v>52118.899999999994</v>
      </c>
      <c r="G9" s="202">
        <f>'1.1รวมยาทั้งหมด(1+2+3+4)'!G9+'5.vaccine'!G9</f>
        <v>20024.2</v>
      </c>
      <c r="H9" s="202">
        <f>'1.1รวมยาทั้งหมด(1+2+3+4)'!H9+'5.vaccine'!H9</f>
        <v>0</v>
      </c>
      <c r="I9" s="202">
        <f>'1.1รวมยาทั้งหมด(1+2+3+4)'!I9+'5.vaccine'!I9</f>
        <v>0</v>
      </c>
      <c r="J9" s="202">
        <f>'1.1รวมยาทั้งหมด(1+2+3+4)'!J9+'5.vaccine'!J9</f>
        <v>0</v>
      </c>
      <c r="K9" s="202">
        <f>'1.1รวมยาทั้งหมด(1+2+3+4)'!K9+'5.vaccine'!K9</f>
        <v>0</v>
      </c>
      <c r="L9" s="202">
        <f>'1.1รวมยาทั้งหมด(1+2+3+4)'!L9+'5.vaccine'!L9</f>
        <v>0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121957.32999999999</v>
      </c>
      <c r="P9" s="330">
        <f t="shared" si="0"/>
        <v>4.9260183574379071E-2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37265.589999999997</v>
      </c>
      <c r="E10" s="202">
        <f>'1.1รวมยาทั้งหมด(1+2+3+4)'!E10+'5.vaccine'!E10</f>
        <v>13156.81</v>
      </c>
      <c r="F10" s="202">
        <f>'1.1รวมยาทั้งหมด(1+2+3+4)'!F10+'5.vaccine'!F10</f>
        <v>15600.99</v>
      </c>
      <c r="G10" s="202">
        <f>'1.1รวมยาทั้งหมด(1+2+3+4)'!G10+'5.vaccine'!G10</f>
        <v>9510.92</v>
      </c>
      <c r="H10" s="202">
        <f>'1.1รวมยาทั้งหมด(1+2+3+4)'!H10+'5.vaccine'!H10</f>
        <v>0</v>
      </c>
      <c r="I10" s="202">
        <f>'1.1รวมยาทั้งหมด(1+2+3+4)'!I10+'5.vaccine'!I10</f>
        <v>0</v>
      </c>
      <c r="J10" s="202">
        <f>'1.1รวมยาทั้งหมด(1+2+3+4)'!J10+'5.vaccine'!J10</f>
        <v>0</v>
      </c>
      <c r="K10" s="202">
        <f>'1.1รวมยาทั้งหมด(1+2+3+4)'!K10+'5.vaccine'!K10</f>
        <v>0</v>
      </c>
      <c r="L10" s="202">
        <f>'1.1รวมยาทั้งหมด(1+2+3+4)'!L10+'5.vaccine'!L10</f>
        <v>0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101698.7</v>
      </c>
      <c r="P10" s="330">
        <f t="shared" si="0"/>
        <v>4.1077454149543169E-2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15870.01</v>
      </c>
      <c r="E11" s="202">
        <f>'1.1รวมยาทั้งหมด(1+2+3+4)'!E11+'5.vaccine'!E11</f>
        <v>8041.3099999999995</v>
      </c>
      <c r="F11" s="202">
        <f>'1.1รวมยาทั้งหมด(1+2+3+4)'!F11+'5.vaccine'!F11</f>
        <v>34664.25</v>
      </c>
      <c r="G11" s="202">
        <f>'1.1รวมยาทั้งหมด(1+2+3+4)'!G11+'5.vaccine'!G11</f>
        <v>22592.78</v>
      </c>
      <c r="H11" s="202">
        <f>'1.1รวมยาทั้งหมด(1+2+3+4)'!H11+'5.vaccine'!H11</f>
        <v>0</v>
      </c>
      <c r="I11" s="202">
        <f>'1.1รวมยาทั้งหมด(1+2+3+4)'!I11+'5.vaccine'!I11</f>
        <v>0</v>
      </c>
      <c r="J11" s="202">
        <f>'1.1รวมยาทั้งหมด(1+2+3+4)'!J11+'5.vaccine'!J11</f>
        <v>0</v>
      </c>
      <c r="K11" s="202">
        <f>'1.1รวมยาทั้งหมด(1+2+3+4)'!K11+'5.vaccine'!K11</f>
        <v>0</v>
      </c>
      <c r="L11" s="202">
        <f>'1.1รวมยาทั้งหมด(1+2+3+4)'!L11+'5.vaccine'!L11</f>
        <v>0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90224.35</v>
      </c>
      <c r="P11" s="330">
        <f t="shared" si="0"/>
        <v>3.6442811956272157E-2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82229.31</v>
      </c>
      <c r="E12" s="202">
        <f>'1.1รวมยาทั้งหมด(1+2+3+4)'!E12+'5.vaccine'!E12</f>
        <v>39237.589999999997</v>
      </c>
      <c r="F12" s="202">
        <f>'1.1รวมยาทั้งหมด(1+2+3+4)'!F12+'5.vaccine'!F12</f>
        <v>54817.64</v>
      </c>
      <c r="G12" s="202">
        <f>'1.1รวมยาทั้งหมด(1+2+3+4)'!G12+'5.vaccine'!G12</f>
        <v>20683.419999999998</v>
      </c>
      <c r="H12" s="202">
        <f>'1.1รวมยาทั้งหมด(1+2+3+4)'!H12+'5.vaccine'!H12</f>
        <v>0</v>
      </c>
      <c r="I12" s="202">
        <f>'1.1รวมยาทั้งหมด(1+2+3+4)'!I12+'5.vaccine'!I12</f>
        <v>0</v>
      </c>
      <c r="J12" s="202">
        <f>'1.1รวมยาทั้งหมด(1+2+3+4)'!J12+'5.vaccine'!J12</f>
        <v>0</v>
      </c>
      <c r="K12" s="202">
        <f>'1.1รวมยาทั้งหมด(1+2+3+4)'!K12+'5.vaccine'!K12</f>
        <v>0</v>
      </c>
      <c r="L12" s="202">
        <f>'1.1รวมยาทั้งหมด(1+2+3+4)'!L12+'5.vaccine'!L12</f>
        <v>0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215654.46999999997</v>
      </c>
      <c r="P12" s="330">
        <f t="shared" si="0"/>
        <v>8.710570148457189E-2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19808.800000000003</v>
      </c>
      <c r="E13" s="202">
        <f>'1.1รวมยาทั้งหมด(1+2+3+4)'!E13+'5.vaccine'!E13</f>
        <v>25310.959999999999</v>
      </c>
      <c r="F13" s="202">
        <f>'1.1รวมยาทั้งหมด(1+2+3+4)'!F13+'5.vaccine'!F13</f>
        <v>21848.49</v>
      </c>
      <c r="G13" s="202">
        <f>'1.1รวมยาทั้งหมด(1+2+3+4)'!G13+'5.vaccine'!G13</f>
        <v>15248.77</v>
      </c>
      <c r="H13" s="202">
        <f>'1.1รวมยาทั้งหมด(1+2+3+4)'!H13+'5.vaccine'!H13</f>
        <v>0</v>
      </c>
      <c r="I13" s="202">
        <f>'1.1รวมยาทั้งหมด(1+2+3+4)'!I13+'5.vaccine'!I13</f>
        <v>0</v>
      </c>
      <c r="J13" s="202">
        <f>'1.1รวมยาทั้งหมด(1+2+3+4)'!J13+'5.vaccine'!J13</f>
        <v>0</v>
      </c>
      <c r="K13" s="202">
        <f>'1.1รวมยาทั้งหมด(1+2+3+4)'!K13+'5.vaccine'!K13</f>
        <v>0</v>
      </c>
      <c r="L13" s="202">
        <f>'1.1รวมยาทั้งหมด(1+2+3+4)'!L13+'5.vaccine'!L13</f>
        <v>0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106463.55000000002</v>
      </c>
      <c r="P13" s="330">
        <f t="shared" si="0"/>
        <v>4.300204027900649E-2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15896.48</v>
      </c>
      <c r="E14" s="202">
        <f>'1.1รวมยาทั้งหมด(1+2+3+4)'!E14+'5.vaccine'!E14</f>
        <v>8968.4699999999993</v>
      </c>
      <c r="F14" s="202">
        <f>'1.1รวมยาทั้งหมด(1+2+3+4)'!F14+'5.vaccine'!F14</f>
        <v>16130.579999999998</v>
      </c>
      <c r="G14" s="202">
        <f>'1.1รวมยาทั้งหมด(1+2+3+4)'!G14+'5.vaccine'!G14</f>
        <v>3902.4</v>
      </c>
      <c r="H14" s="202">
        <f>'1.1รวมยาทั้งหมด(1+2+3+4)'!H14+'5.vaccine'!H14</f>
        <v>0</v>
      </c>
      <c r="I14" s="202">
        <f>'1.1รวมยาทั้งหมด(1+2+3+4)'!I14+'5.vaccine'!I14</f>
        <v>0</v>
      </c>
      <c r="J14" s="202">
        <f>'1.1รวมยาทั้งหมด(1+2+3+4)'!J14+'5.vaccine'!J14</f>
        <v>0</v>
      </c>
      <c r="K14" s="202">
        <f>'1.1รวมยาทั้งหมด(1+2+3+4)'!K14+'5.vaccine'!K14</f>
        <v>0</v>
      </c>
      <c r="L14" s="202">
        <f>'1.1รวมยาทั้งหมด(1+2+3+4)'!L14+'5.vaccine'!L14</f>
        <v>0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65379.85</v>
      </c>
      <c r="P14" s="330">
        <f t="shared" si="0"/>
        <v>2.6407788798470479E-2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20790.849999999999</v>
      </c>
      <c r="E15" s="202">
        <f>'1.1รวมยาทั้งหมด(1+2+3+4)'!E15+'5.vaccine'!E15</f>
        <v>3470.04</v>
      </c>
      <c r="F15" s="202">
        <f>'1.1รวมยาทั้งหมด(1+2+3+4)'!F15+'5.vaccine'!F15</f>
        <v>43923.540000000008</v>
      </c>
      <c r="G15" s="202">
        <f>'1.1รวมยาทั้งหมด(1+2+3+4)'!G15+'5.vaccine'!G15</f>
        <v>20373.59</v>
      </c>
      <c r="H15" s="202">
        <f>'1.1รวมยาทั้งหมด(1+2+3+4)'!H15+'5.vaccine'!H15</f>
        <v>0</v>
      </c>
      <c r="I15" s="202">
        <f>'1.1รวมยาทั้งหมด(1+2+3+4)'!I15+'5.vaccine'!I15</f>
        <v>0</v>
      </c>
      <c r="J15" s="202">
        <f>'1.1รวมยาทั้งหมด(1+2+3+4)'!J15+'5.vaccine'!J15</f>
        <v>0</v>
      </c>
      <c r="K15" s="202">
        <f>'1.1รวมยาทั้งหมด(1+2+3+4)'!K15+'5.vaccine'!K15</f>
        <v>0</v>
      </c>
      <c r="L15" s="202">
        <f>'1.1รวมยาทั้งหมด(1+2+3+4)'!L15+'5.vaccine'!L15</f>
        <v>0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119405.74000000002</v>
      </c>
      <c r="P15" s="330">
        <f t="shared" si="0"/>
        <v>4.8229562521863834E-2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9146.1</v>
      </c>
      <c r="E16" s="202">
        <f>'1.1รวมยาทั้งหมด(1+2+3+4)'!E16+'5.vaccine'!E16</f>
        <v>17912.169999999998</v>
      </c>
      <c r="F16" s="202">
        <f>'1.1รวมยาทั้งหมด(1+2+3+4)'!F16+'5.vaccine'!F16</f>
        <v>11298.27</v>
      </c>
      <c r="G16" s="202">
        <f>'1.1รวมยาทั้งหมด(1+2+3+4)'!G16+'5.vaccine'!G16</f>
        <v>14314.87</v>
      </c>
      <c r="H16" s="202">
        <f>'1.1รวมยาทั้งหมด(1+2+3+4)'!H16+'5.vaccine'!H16</f>
        <v>0</v>
      </c>
      <c r="I16" s="202">
        <f>'1.1รวมยาทั้งหมด(1+2+3+4)'!I16+'5.vaccine'!I16</f>
        <v>0</v>
      </c>
      <c r="J16" s="202">
        <f>'1.1รวมยาทั้งหมด(1+2+3+4)'!J16+'5.vaccine'!J16</f>
        <v>0</v>
      </c>
      <c r="K16" s="202">
        <f>'1.1รวมยาทั้งหมด(1+2+3+4)'!K16+'5.vaccine'!K16</f>
        <v>0</v>
      </c>
      <c r="L16" s="202">
        <f>'1.1รวมยาทั้งหมด(1+2+3+4)'!L16+'5.vaccine'!L16</f>
        <v>0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75135.099999999991</v>
      </c>
      <c r="P16" s="330">
        <f t="shared" si="0"/>
        <v>3.034806369473101E-2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3069.9900000000002</v>
      </c>
      <c r="E17" s="202">
        <f>'1.1รวมยาทั้งหมด(1+2+3+4)'!E17+'5.vaccine'!E17</f>
        <v>21410.44</v>
      </c>
      <c r="F17" s="202">
        <f>'1.1รวมยาทั้งหมด(1+2+3+4)'!F17+'5.vaccine'!F17</f>
        <v>49846.729999999996</v>
      </c>
      <c r="G17" s="202">
        <f>'1.1รวมยาทั้งหมด(1+2+3+4)'!G17+'5.vaccine'!G17</f>
        <v>4148.51</v>
      </c>
      <c r="H17" s="202">
        <f>'1.1รวมยาทั้งหมด(1+2+3+4)'!H17+'5.vaccine'!H17</f>
        <v>0</v>
      </c>
      <c r="I17" s="202">
        <f>'1.1รวมยาทั้งหมด(1+2+3+4)'!I17+'5.vaccine'!I17</f>
        <v>0</v>
      </c>
      <c r="J17" s="202">
        <f>'1.1รวมยาทั้งหมด(1+2+3+4)'!J17+'5.vaccine'!J17</f>
        <v>0</v>
      </c>
      <c r="K17" s="202">
        <f>'1.1รวมยาทั้งหมด(1+2+3+4)'!K17+'5.vaccine'!K17</f>
        <v>0</v>
      </c>
      <c r="L17" s="202">
        <f>'1.1รวมยาทั้งหมด(1+2+3+4)'!L17+'5.vaccine'!L17</f>
        <v>0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97915.749999999985</v>
      </c>
      <c r="P17" s="330">
        <f t="shared" si="0"/>
        <v>3.9549470456781956E-2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10711.539999999999</v>
      </c>
      <c r="E18" s="202">
        <f>'1.1รวมยาทั้งหมด(1+2+3+4)'!E18+'5.vaccine'!E18</f>
        <v>13842.720000000001</v>
      </c>
      <c r="F18" s="202">
        <f>'1.1รวมยาทั้งหมด(1+2+3+4)'!F18+'5.vaccine'!F18</f>
        <v>13145.990000000002</v>
      </c>
      <c r="G18" s="202">
        <f>'1.1รวมยาทั้งหมด(1+2+3+4)'!G18+'5.vaccine'!G18</f>
        <v>14538.68</v>
      </c>
      <c r="H18" s="202">
        <f>'1.1รวมยาทั้งหมด(1+2+3+4)'!H18+'5.vaccine'!H18</f>
        <v>0</v>
      </c>
      <c r="I18" s="202">
        <f>'1.1รวมยาทั้งหมด(1+2+3+4)'!I18+'5.vaccine'!I18</f>
        <v>0</v>
      </c>
      <c r="J18" s="202">
        <f>'1.1รวมยาทั้งหมด(1+2+3+4)'!J18+'5.vaccine'!J18</f>
        <v>0</v>
      </c>
      <c r="K18" s="202">
        <f>'1.1รวมยาทั้งหมด(1+2+3+4)'!K18+'5.vaccine'!K18</f>
        <v>0</v>
      </c>
      <c r="L18" s="202">
        <f>'1.1รวมยาทั้งหมด(1+2+3+4)'!L18+'5.vaccine'!L18</f>
        <v>0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72531.22</v>
      </c>
      <c r="P18" s="330">
        <f t="shared" si="0"/>
        <v>2.9296322017493128E-2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23504.77</v>
      </c>
      <c r="E19" s="202">
        <f>'1.1รวมยาทั้งหมด(1+2+3+4)'!E19+'5.vaccine'!E19</f>
        <v>31997.88</v>
      </c>
      <c r="F19" s="202">
        <f>'1.1รวมยาทั้งหมด(1+2+3+4)'!F19+'5.vaccine'!F19</f>
        <v>20812.310000000001</v>
      </c>
      <c r="G19" s="202">
        <f>'1.1รวมยาทั้งหมด(1+2+3+4)'!G19+'5.vaccine'!G19</f>
        <v>51890.59</v>
      </c>
      <c r="H19" s="202">
        <f>'1.1รวมยาทั้งหมด(1+2+3+4)'!H19+'5.vaccine'!H19</f>
        <v>0</v>
      </c>
      <c r="I19" s="202">
        <f>'1.1รวมยาทั้งหมด(1+2+3+4)'!I19+'5.vaccine'!I19</f>
        <v>0</v>
      </c>
      <c r="J19" s="202">
        <f>'1.1รวมยาทั้งหมด(1+2+3+4)'!J19+'5.vaccine'!J19</f>
        <v>0</v>
      </c>
      <c r="K19" s="202">
        <f>'1.1รวมยาทั้งหมด(1+2+3+4)'!K19+'5.vaccine'!K19</f>
        <v>0</v>
      </c>
      <c r="L19" s="202">
        <f>'1.1รวมยาทั้งหมด(1+2+3+4)'!L19+'5.vaccine'!L19</f>
        <v>0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152133.44</v>
      </c>
      <c r="P19" s="330">
        <f t="shared" si="0"/>
        <v>6.1448714744753635E-2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6981.9400000000005</v>
      </c>
      <c r="E20" s="202">
        <f>'1.1รวมยาทั้งหมด(1+2+3+4)'!E20+'5.vaccine'!E20</f>
        <v>11166</v>
      </c>
      <c r="F20" s="202">
        <f>'1.1รวมยาทั้งหมด(1+2+3+4)'!F20+'5.vaccine'!F20</f>
        <v>19381.86</v>
      </c>
      <c r="G20" s="202">
        <f>'1.1รวมยาทั้งหมด(1+2+3+4)'!G20+'5.vaccine'!G20</f>
        <v>18005.449999999997</v>
      </c>
      <c r="H20" s="202">
        <f>'1.1รวมยาทั้งหมด(1+2+3+4)'!H20+'5.vaccine'!H20</f>
        <v>0</v>
      </c>
      <c r="I20" s="202">
        <f>'1.1รวมยาทั้งหมด(1+2+3+4)'!I20+'5.vaccine'!I20</f>
        <v>0</v>
      </c>
      <c r="J20" s="202">
        <f>'1.1รวมยาทั้งหมด(1+2+3+4)'!J20+'5.vaccine'!J20</f>
        <v>0</v>
      </c>
      <c r="K20" s="202">
        <f>'1.1รวมยาทั้งหมด(1+2+3+4)'!K20+'5.vaccine'!K20</f>
        <v>0</v>
      </c>
      <c r="L20" s="202">
        <f>'1.1รวมยาทั้งหมด(1+2+3+4)'!L20+'5.vaccine'!L20</f>
        <v>0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73677.429999999993</v>
      </c>
      <c r="P20" s="330">
        <f t="shared" si="0"/>
        <v>2.9759291443068357E-2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21975.309999999998</v>
      </c>
      <c r="E21" s="202">
        <f>'1.1รวมยาทั้งหมด(1+2+3+4)'!E21+'5.vaccine'!E21</f>
        <v>14141.57</v>
      </c>
      <c r="F21" s="202">
        <f>'1.1รวมยาทั้งหมด(1+2+3+4)'!F21+'5.vaccine'!F21</f>
        <v>23538.14</v>
      </c>
      <c r="G21" s="202">
        <f>'1.1รวมยาทั้งหมด(1+2+3+4)'!G21+'5.vaccine'!G21</f>
        <v>24437.86</v>
      </c>
      <c r="H21" s="202">
        <f>'1.1รวมยาทั้งหมด(1+2+3+4)'!H21+'5.vaccine'!H21</f>
        <v>0</v>
      </c>
      <c r="I21" s="202">
        <f>'1.1รวมยาทั้งหมด(1+2+3+4)'!I21+'5.vaccine'!I21</f>
        <v>0</v>
      </c>
      <c r="J21" s="202">
        <f>'1.1รวมยาทั้งหมด(1+2+3+4)'!J21+'5.vaccine'!J21</f>
        <v>0</v>
      </c>
      <c r="K21" s="202">
        <f>'1.1รวมยาทั้งหมด(1+2+3+4)'!K21+'5.vaccine'!K21</f>
        <v>0</v>
      </c>
      <c r="L21" s="202">
        <f>'1.1รวมยาทั้งหมด(1+2+3+4)'!L21+'5.vaccine'!L21</f>
        <v>0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111538.56999999999</v>
      </c>
      <c r="P21" s="330">
        <f t="shared" si="0"/>
        <v>4.5051908186443002E-2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7304.3099999999995</v>
      </c>
      <c r="E22" s="202">
        <f>'1.1รวมยาทั้งหมด(1+2+3+4)'!E22+'5.vaccine'!E22</f>
        <v>15873.82</v>
      </c>
      <c r="F22" s="202">
        <f>'1.1รวมยาทั้งหมด(1+2+3+4)'!F22+'5.vaccine'!F22</f>
        <v>12952.57</v>
      </c>
      <c r="G22" s="202">
        <f>'1.1รวมยาทั้งหมด(1+2+3+4)'!G22+'5.vaccine'!G22</f>
        <v>11747.169999999998</v>
      </c>
      <c r="H22" s="202">
        <f>'1.1รวมยาทั้งหมด(1+2+3+4)'!H22+'5.vaccine'!H22</f>
        <v>0</v>
      </c>
      <c r="I22" s="202">
        <f>'1.1รวมยาทั้งหมด(1+2+3+4)'!I22+'5.vaccine'!I22</f>
        <v>0</v>
      </c>
      <c r="J22" s="202">
        <f>'1.1รวมยาทั้งหมด(1+2+3+4)'!J22+'5.vaccine'!J22</f>
        <v>0</v>
      </c>
      <c r="K22" s="202">
        <f>'1.1รวมยาทั้งหมด(1+2+3+4)'!K22+'5.vaccine'!K22</f>
        <v>0</v>
      </c>
      <c r="L22" s="202">
        <f>'1.1รวมยาทั้งหมด(1+2+3+4)'!L22+'5.vaccine'!L22</f>
        <v>0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64637.82</v>
      </c>
      <c r="P22" s="330">
        <f t="shared" si="0"/>
        <v>2.6108073037083308E-2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487611.3899999999</v>
      </c>
      <c r="E23" s="214">
        <f t="shared" si="2"/>
        <v>396178.83999999997</v>
      </c>
      <c r="F23" s="214">
        <f t="shared" si="2"/>
        <v>560181.50999999989</v>
      </c>
      <c r="G23" s="214">
        <f t="shared" si="2"/>
        <v>456773.6100000001</v>
      </c>
      <c r="H23" s="214">
        <f t="shared" si="2"/>
        <v>0</v>
      </c>
      <c r="I23" s="214">
        <f t="shared" si="2"/>
        <v>0</v>
      </c>
      <c r="J23" s="214">
        <f t="shared" si="2"/>
        <v>0</v>
      </c>
      <c r="K23" s="214">
        <f t="shared" si="2"/>
        <v>0</v>
      </c>
      <c r="L23" s="214">
        <f t="shared" si="2"/>
        <v>0</v>
      </c>
      <c r="M23" s="214">
        <f t="shared" si="2"/>
        <v>0</v>
      </c>
      <c r="N23" s="214">
        <f t="shared" si="2"/>
        <v>0</v>
      </c>
      <c r="O23" s="318">
        <f t="shared" si="1"/>
        <v>2475779.04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9518.1</v>
      </c>
      <c r="E24" s="201">
        <f>'1.1รวมยาทั้งหมด(1+2+3+4)'!E24+'5.vaccine'!E24</f>
        <v>40425.450000000004</v>
      </c>
      <c r="F24" s="201">
        <f>'1.1รวมยาทั้งหมด(1+2+3+4)'!F24+'5.vaccine'!F24</f>
        <v>72376.180000000008</v>
      </c>
      <c r="G24" s="201">
        <f>'1.1รวมยาทั้งหมด(1+2+3+4)'!G24+'5.vaccine'!G24</f>
        <v>54101.73</v>
      </c>
      <c r="H24" s="201">
        <f>'1.1รวมยาทั้งหมด(1+2+3+4)'!H24+'5.vaccine'!H24</f>
        <v>0</v>
      </c>
      <c r="I24" s="201">
        <f>'1.1รวมยาทั้งหมด(1+2+3+4)'!I24+'5.vaccine'!I24</f>
        <v>0</v>
      </c>
      <c r="J24" s="201">
        <f>'1.1รวมยาทั้งหมด(1+2+3+4)'!J24+'5.vaccine'!J24</f>
        <v>0</v>
      </c>
      <c r="K24" s="201">
        <f>'1.1รวมยาทั้งหมด(1+2+3+4)'!K24+'5.vaccine'!K24</f>
        <v>0</v>
      </c>
      <c r="L24" s="201">
        <f>'1.1รวมยาทั้งหมด(1+2+3+4)'!L24+'5.vaccine'!L24</f>
        <v>0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202729.01000000004</v>
      </c>
      <c r="P24" s="330">
        <f t="shared" si="0"/>
        <v>8.1884936710668668E-2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9518.1</v>
      </c>
      <c r="E26" s="217">
        <f t="shared" si="3"/>
        <v>40425.450000000004</v>
      </c>
      <c r="F26" s="217">
        <f t="shared" si="3"/>
        <v>72376.180000000008</v>
      </c>
      <c r="G26" s="217">
        <f t="shared" si="3"/>
        <v>54101.73</v>
      </c>
      <c r="H26" s="217">
        <f t="shared" si="3"/>
        <v>0</v>
      </c>
      <c r="I26" s="217">
        <f t="shared" si="3"/>
        <v>0</v>
      </c>
      <c r="J26" s="217">
        <f t="shared" si="3"/>
        <v>0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8">
        <f t="shared" si="1"/>
        <v>202729.01000000004</v>
      </c>
      <c r="P26" s="332">
        <f t="shared" si="0"/>
        <v>8.1884936710668668E-2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497129.48999999987</v>
      </c>
      <c r="E27" s="221">
        <f t="shared" si="4"/>
        <v>436604.29</v>
      </c>
      <c r="F27" s="221">
        <f t="shared" si="4"/>
        <v>632557.68999999994</v>
      </c>
      <c r="G27" s="221">
        <f t="shared" si="4"/>
        <v>510875.34000000008</v>
      </c>
      <c r="H27" s="221">
        <f t="shared" si="4"/>
        <v>0</v>
      </c>
      <c r="I27" s="221">
        <f t="shared" si="4"/>
        <v>0</v>
      </c>
      <c r="J27" s="221">
        <f t="shared" si="4"/>
        <v>0</v>
      </c>
      <c r="K27" s="221">
        <f t="shared" si="4"/>
        <v>0</v>
      </c>
      <c r="L27" s="221">
        <f t="shared" si="4"/>
        <v>0</v>
      </c>
      <c r="M27" s="221">
        <f t="shared" si="4"/>
        <v>0</v>
      </c>
      <c r="N27" s="221">
        <f t="shared" si="4"/>
        <v>0</v>
      </c>
      <c r="O27" s="222">
        <f t="shared" si="1"/>
        <v>2678508.0499999998</v>
      </c>
      <c r="P27" s="333">
        <f t="shared" si="0"/>
        <v>1.0818849367106687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4" t="s">
        <v>73</v>
      </c>
      <c r="H30" s="364"/>
      <c r="I30" s="364"/>
      <c r="J30" s="3"/>
      <c r="K30" s="3"/>
      <c r="L30" s="364" t="s">
        <v>49</v>
      </c>
      <c r="M30" s="364"/>
      <c r="N30" s="364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>รายงานข้อมูลณ วันที่ 28/2/62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39376.559999999998</v>
      </c>
      <c r="E5" s="184">
        <f>'1.1รวมยาทั้งหมด(1+2+3+4)'!E5+'2.รวมวชย ทุกประเภท'!E5</f>
        <v>75657.55</v>
      </c>
      <c r="F5" s="184">
        <f>'1.1รวมยาทั้งหมด(1+2+3+4)'!F5+'2.รวมวชย ทุกประเภท'!F5</f>
        <v>73301.430000000008</v>
      </c>
      <c r="G5" s="184">
        <f>'1.1รวมยาทั้งหมด(1+2+3+4)'!G5+'2.รวมวชย ทุกประเภท'!G5</f>
        <v>70385.33</v>
      </c>
      <c r="H5" s="184">
        <f>'1.1รวมยาทั้งหมด(1+2+3+4)'!H5+'2.รวมวชย ทุกประเภท'!H5</f>
        <v>0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0</v>
      </c>
      <c r="K5" s="184">
        <f>'1.1รวมยาทั้งหมด(1+2+3+4)'!K5+'2.รวมวชย ทุกประเภท'!K5</f>
        <v>0</v>
      </c>
      <c r="L5" s="184">
        <f>'1.1รวมยาทั้งหมด(1+2+3+4)'!L5+'2.รวมวชย ทุกประเภท'!L5</f>
        <v>0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326165.42000000004</v>
      </c>
      <c r="P5" s="319">
        <f t="shared" ref="P5:P27" si="0">O5/$O$23</f>
        <v>0.1739911207217405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48827.25</v>
      </c>
      <c r="E6" s="184">
        <f>'1.1รวมยาทั้งหมด(1+2+3+4)'!E6+'2.รวมวชย ทุกประเภท'!E6</f>
        <v>39206.76</v>
      </c>
      <c r="F6" s="184">
        <f>'1.1รวมยาทั้งหมด(1+2+3+4)'!F6+'2.รวมวชย ทุกประเภท'!F6</f>
        <v>46497.100000000006</v>
      </c>
      <c r="G6" s="184">
        <f>'1.1รวมยาทั้งหมด(1+2+3+4)'!G6+'2.รวมวชย ทุกประเภท'!G6</f>
        <v>41522.050000000003</v>
      </c>
      <c r="H6" s="184">
        <f>'1.1รวมยาทั้งหมด(1+2+3+4)'!H6+'2.รวมวชย ทุกประเภท'!H6</f>
        <v>0</v>
      </c>
      <c r="I6" s="184">
        <f>'1.1รวมยาทั้งหมด(1+2+3+4)'!I6+'2.รวมวชย ทุกประเภท'!I6</f>
        <v>0</v>
      </c>
      <c r="J6" s="184">
        <f>'1.1รวมยาทั้งหมด(1+2+3+4)'!J6+'2.รวมวชย ทุกประเภท'!J6</f>
        <v>0</v>
      </c>
      <c r="K6" s="184">
        <f>'1.1รวมยาทั้งหมด(1+2+3+4)'!K6+'2.รวมวชย ทุกประเภท'!K6</f>
        <v>0</v>
      </c>
      <c r="L6" s="184">
        <f>'1.1รวมยาทั้งหมด(1+2+3+4)'!L6+'2.รวมวชย ทุกประเภท'!L6</f>
        <v>0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196825.96000000002</v>
      </c>
      <c r="P6" s="319">
        <f t="shared" si="0"/>
        <v>0.10499570851972126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14142.39</v>
      </c>
      <c r="E7" s="184">
        <f>'1.1รวมยาทั้งหมด(1+2+3+4)'!E7+'2.รวมวชย ทุกประเภท'!E7</f>
        <v>14962.41</v>
      </c>
      <c r="F7" s="184">
        <f>'1.1รวมยาทั้งหมด(1+2+3+4)'!F7+'2.รวมวชย ทุกประเภท'!F7</f>
        <v>20041.47</v>
      </c>
      <c r="G7" s="184">
        <f>'1.1รวมยาทั้งหมด(1+2+3+4)'!G7+'2.รวมวชย ทุกประเภท'!G7</f>
        <v>23695.17</v>
      </c>
      <c r="H7" s="184">
        <f>'1.1รวมยาทั้งหมด(1+2+3+4)'!H7+'2.รวมวชย ทุกประเภท'!H7</f>
        <v>0</v>
      </c>
      <c r="I7" s="184">
        <f>'1.1รวมยาทั้งหมด(1+2+3+4)'!I7+'2.รวมวชย ทุกประเภท'!I7</f>
        <v>0</v>
      </c>
      <c r="J7" s="184">
        <f>'1.1รวมยาทั้งหมด(1+2+3+4)'!J7+'2.รวมวชย ทุกประเภท'!J7</f>
        <v>0</v>
      </c>
      <c r="K7" s="184">
        <f>'1.1รวมยาทั้งหมด(1+2+3+4)'!K7+'2.รวมวชย ทุกประเภท'!K7</f>
        <v>0</v>
      </c>
      <c r="L7" s="184">
        <f>'1.1รวมยาทั้งหมด(1+2+3+4)'!L7+'2.รวมวชย ทุกประเภท'!L7</f>
        <v>0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75325.94</v>
      </c>
      <c r="P7" s="319">
        <f t="shared" si="0"/>
        <v>4.0182201779755129E-2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65351.58</v>
      </c>
      <c r="E8" s="184">
        <f>'1.1รวมยาทั้งหมด(1+2+3+4)'!E8+'2.รวมวชย ทุกประเภท'!E8</f>
        <v>4567.9399999999996</v>
      </c>
      <c r="F8" s="184">
        <f>'1.1รวมยาทั้งหมด(1+2+3+4)'!F8+'2.รวมวชย ทุกประเภท'!F8</f>
        <v>11017</v>
      </c>
      <c r="G8" s="184">
        <f>'1.1รวมยาทั้งหมด(1+2+3+4)'!G8+'2.รวมวชย ทุกประเภท'!G8</f>
        <v>40905.08</v>
      </c>
      <c r="H8" s="184">
        <f>'1.1รวมยาทั้งหมด(1+2+3+4)'!H8+'2.รวมวชย ทุกประเภท'!H8</f>
        <v>0</v>
      </c>
      <c r="I8" s="184">
        <f>'1.1รวมยาทั้งหมด(1+2+3+4)'!I8+'2.รวมวชย ทุกประเภท'!I8</f>
        <v>0</v>
      </c>
      <c r="J8" s="184">
        <f>'1.1รวมยาทั้งหมด(1+2+3+4)'!J8+'2.รวมวชย ทุกประเภท'!J8</f>
        <v>0</v>
      </c>
      <c r="K8" s="184">
        <f>'1.1รวมยาทั้งหมด(1+2+3+4)'!K8+'2.รวมวชย ทุกประเภท'!K8</f>
        <v>0</v>
      </c>
      <c r="L8" s="184">
        <f>'1.1รวมยาทั้งหมด(1+2+3+4)'!L8+'2.รวมวชย ทุกประเภท'!L8</f>
        <v>0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144982.64000000001</v>
      </c>
      <c r="P8" s="319">
        <f t="shared" si="0"/>
        <v>7.7340179160613171E-2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17058.55</v>
      </c>
      <c r="E9" s="184">
        <f>'1.1รวมยาทั้งหมด(1+2+3+4)'!E9+'2.รวมวชย ทุกประเภท'!E9</f>
        <v>14676.029999999999</v>
      </c>
      <c r="F9" s="184">
        <f>'1.1รวมยาทั้งหมด(1+2+3+4)'!F9+'2.รวมวชย ทุกประเภท'!F9</f>
        <v>38328.199999999997</v>
      </c>
      <c r="G9" s="184">
        <f>'1.1รวมยาทั้งหมด(1+2+3+4)'!G9+'2.รวมวชย ทุกประเภท'!G9</f>
        <v>20024.2</v>
      </c>
      <c r="H9" s="184">
        <f>'1.1รวมยาทั้งหมด(1+2+3+4)'!H9+'2.รวมวชย ทุกประเภท'!H9</f>
        <v>0</v>
      </c>
      <c r="I9" s="184">
        <f>'1.1รวมยาทั้งหมด(1+2+3+4)'!I9+'2.รวมวชย ทุกประเภท'!I9</f>
        <v>0</v>
      </c>
      <c r="J9" s="184">
        <f>'1.1รวมยาทั้งหมด(1+2+3+4)'!J9+'2.รวมวชย ทุกประเภท'!J9</f>
        <v>0</v>
      </c>
      <c r="K9" s="184">
        <f>'1.1รวมยาทั้งหมด(1+2+3+4)'!K9+'2.รวมวชย ทุกประเภท'!K9</f>
        <v>0</v>
      </c>
      <c r="L9" s="184">
        <f>'1.1รวมยาทั้งหมด(1+2+3+4)'!L9+'2.รวมวชย ทุกประเภท'!L9</f>
        <v>0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101600.57999999999</v>
      </c>
      <c r="P9" s="319">
        <f t="shared" si="0"/>
        <v>5.4198261667894924E-2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30634.43</v>
      </c>
      <c r="E10" s="184">
        <f>'1.1รวมยาทั้งหมด(1+2+3+4)'!E10+'2.รวมวชย ทุกประเภท'!E10</f>
        <v>9476.98</v>
      </c>
      <c r="F10" s="184">
        <f>'1.1รวมยาทั้งหมด(1+2+3+4)'!F10+'2.รวมวชย ทุกประเภท'!F10</f>
        <v>12449.27</v>
      </c>
      <c r="G10" s="184">
        <f>'1.1รวมยาทั้งหมด(1+2+3+4)'!G10+'2.รวมวชย ทุกประเภท'!G10</f>
        <v>6078.6100000000006</v>
      </c>
      <c r="H10" s="184">
        <f>'1.1รวมยาทั้งหมด(1+2+3+4)'!H10+'2.รวมวชย ทุกประเภท'!H10</f>
        <v>0</v>
      </c>
      <c r="I10" s="184">
        <f>'1.1รวมยาทั้งหมด(1+2+3+4)'!I10+'2.รวมวชย ทุกประเภท'!I10</f>
        <v>0</v>
      </c>
      <c r="J10" s="184">
        <f>'1.1รวมยาทั้งหมด(1+2+3+4)'!J10+'2.รวมวชย ทุกประเภท'!J10</f>
        <v>0</v>
      </c>
      <c r="K10" s="184">
        <f>'1.1รวมยาทั้งหมด(1+2+3+4)'!K10+'2.รวมวชย ทุกประเภท'!K10</f>
        <v>0</v>
      </c>
      <c r="L10" s="184">
        <f>'1.1รวมยาทั้งหมด(1+2+3+4)'!L10+'2.รวมวชย ทุกประเภท'!L10</f>
        <v>0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75858.400000000009</v>
      </c>
      <c r="P10" s="319">
        <f t="shared" si="0"/>
        <v>4.0466239591425965E-2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14285.79</v>
      </c>
      <c r="E11" s="184">
        <f>'1.1รวมยาทั้งหมด(1+2+3+4)'!E11+'2.รวมวชย ทุกประเภท'!E11</f>
        <v>6854.95</v>
      </c>
      <c r="F11" s="184">
        <f>'1.1รวมยาทั้งหมด(1+2+3+4)'!F11+'2.รวมวชย ทุกประเภท'!F11</f>
        <v>28836.6</v>
      </c>
      <c r="G11" s="184">
        <f>'1.1รวมยาทั้งหมด(1+2+3+4)'!G11+'2.รวมวชย ทุกประเภท'!G11</f>
        <v>19109.07</v>
      </c>
      <c r="H11" s="184">
        <f>'1.1รวมยาทั้งหมด(1+2+3+4)'!H11+'2.รวมวชย ทุกประเภท'!H11</f>
        <v>0</v>
      </c>
      <c r="I11" s="184">
        <f>'1.1รวมยาทั้งหมด(1+2+3+4)'!I11+'2.รวมวชย ทุกประเภท'!I11</f>
        <v>0</v>
      </c>
      <c r="J11" s="184">
        <f>'1.1รวมยาทั้งหมด(1+2+3+4)'!J11+'2.รวมวชย ทุกประเภท'!J11</f>
        <v>0</v>
      </c>
      <c r="K11" s="184">
        <f>'1.1รวมยาทั้งหมด(1+2+3+4)'!K11+'2.รวมวชย ทุกประเภท'!K11</f>
        <v>0</v>
      </c>
      <c r="L11" s="184">
        <f>'1.1รวมยาทั้งหมด(1+2+3+4)'!L11+'2.รวมวชย ทุกประเภท'!L11</f>
        <v>0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78142.41</v>
      </c>
      <c r="P11" s="319">
        <f t="shared" si="0"/>
        <v>4.1684631963123928E-2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73402.47</v>
      </c>
      <c r="E12" s="184">
        <f>'1.1รวมยาทั้งหมด(1+2+3+4)'!E12+'2.รวมวชย ทุกประเภท'!E12</f>
        <v>27802.13</v>
      </c>
      <c r="F12" s="184">
        <f>'1.1รวมยาทั้งหมด(1+2+3+4)'!F12+'2.รวมวชย ทุกประเภท'!F12</f>
        <v>47119.25</v>
      </c>
      <c r="G12" s="184">
        <f>'1.1รวมยาทั้งหมด(1+2+3+4)'!G12+'2.รวมวชย ทุกประเภท'!G12</f>
        <v>11003.25</v>
      </c>
      <c r="H12" s="184">
        <f>'1.1รวมยาทั้งหมด(1+2+3+4)'!H12+'2.รวมวชย ทุกประเภท'!H12</f>
        <v>0</v>
      </c>
      <c r="I12" s="184">
        <f>'1.1รวมยาทั้งหมด(1+2+3+4)'!I12+'2.รวมวชย ทุกประเภท'!I12</f>
        <v>0</v>
      </c>
      <c r="J12" s="184">
        <f>'1.1รวมยาทั้งหมด(1+2+3+4)'!J12+'2.รวมวชย ทุกประเภท'!J12</f>
        <v>0</v>
      </c>
      <c r="K12" s="184">
        <f>'1.1รวมยาทั้งหมด(1+2+3+4)'!K12+'2.รวมวชย ทุกประเภท'!K12</f>
        <v>0</v>
      </c>
      <c r="L12" s="184">
        <f>'1.1รวมยาทั้งหมด(1+2+3+4)'!L12+'2.รวมวชย ทุกประเภท'!L12</f>
        <v>0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173362.1</v>
      </c>
      <c r="P12" s="319">
        <f t="shared" si="0"/>
        <v>9.2479043516245363E-2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15020.320000000002</v>
      </c>
      <c r="E13" s="184">
        <f>'1.1รวมยาทั้งหมด(1+2+3+4)'!E13+'2.รวมวชย ทุกประเภท'!E13</f>
        <v>20559.04</v>
      </c>
      <c r="F13" s="184">
        <f>'1.1รวมยาทั้งหมด(1+2+3+4)'!F13+'2.รวมวชย ทุกประเภท'!F13</f>
        <v>17466.22</v>
      </c>
      <c r="G13" s="184">
        <f>'1.1รวมยาทั้งหมด(1+2+3+4)'!G13+'2.รวมวชย ทุกประเภท'!G13</f>
        <v>11390.17</v>
      </c>
      <c r="H13" s="184">
        <f>'1.1รวมยาทั้งหมด(1+2+3+4)'!H13+'2.รวมวชย ทุกประเภท'!H13</f>
        <v>0</v>
      </c>
      <c r="I13" s="184">
        <f>'1.1รวมยาทั้งหมด(1+2+3+4)'!I13+'2.รวมวชย ทุกประเภท'!I13</f>
        <v>0</v>
      </c>
      <c r="J13" s="184">
        <f>'1.1รวมยาทั้งหมด(1+2+3+4)'!J13+'2.รวมวชย ทุกประเภท'!J13</f>
        <v>0</v>
      </c>
      <c r="K13" s="184">
        <f>'1.1รวมยาทั้งหมด(1+2+3+4)'!K13+'2.รวมวชย ทุกประเภท'!K13</f>
        <v>0</v>
      </c>
      <c r="L13" s="184">
        <f>'1.1รวมยาทั้งหมด(1+2+3+4)'!L13+'2.รวมวชย ทุกประเภท'!L13</f>
        <v>0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82551.56</v>
      </c>
      <c r="P13" s="319">
        <f t="shared" si="0"/>
        <v>4.4036668392768312E-2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6980.38</v>
      </c>
      <c r="E14" s="184">
        <f>'1.1รวมยาทั้งหมด(1+2+3+4)'!E14+'2.รวมวชย ทุกประเภท'!E14</f>
        <v>5220.33</v>
      </c>
      <c r="F14" s="184">
        <f>'1.1รวมยาทั้งหมด(1+2+3+4)'!F14+'2.รวมวชย ทุกประเภท'!F14</f>
        <v>13675.939999999999</v>
      </c>
      <c r="G14" s="184">
        <f>'1.1รวมยาทั้งหมด(1+2+3+4)'!G14+'2.รวมวชย ทุกประเภท'!G14</f>
        <v>780</v>
      </c>
      <c r="H14" s="184">
        <f>'1.1รวมยาทั้งหมด(1+2+3+4)'!H14+'2.รวมวชย ทุกประเภท'!H14</f>
        <v>0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0</v>
      </c>
      <c r="K14" s="184">
        <f>'1.1รวมยาทั้งหมด(1+2+3+4)'!K14+'2.รวมวชย ทุกประเภท'!K14</f>
        <v>0</v>
      </c>
      <c r="L14" s="184">
        <f>'1.1รวมยาทั้งหมด(1+2+3+4)'!L14+'2.รวมวชย ทุกประเภท'!L14</f>
        <v>0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44289.709999999992</v>
      </c>
      <c r="P14" s="319">
        <f t="shared" si="0"/>
        <v>2.3626098313367722E-2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15677.63</v>
      </c>
      <c r="E15" s="184">
        <f>'1.1รวมยาทั้งหมด(1+2+3+4)'!E15+'2.รวมวชย ทุกประเภท'!E15</f>
        <v>2373.1</v>
      </c>
      <c r="F15" s="184">
        <f>'1.1รวมยาทั้งหมด(1+2+3+4)'!F15+'2.รวมวชย ทุกประเภท'!F15</f>
        <v>35588.490000000005</v>
      </c>
      <c r="G15" s="184">
        <f>'1.1รวมยาทั้งหมด(1+2+3+4)'!G15+'2.รวมวชย ทุกประเภท'!G15</f>
        <v>18141.32</v>
      </c>
      <c r="H15" s="184">
        <f>'1.1รวมยาทั้งหมด(1+2+3+4)'!H15+'2.รวมวชย ทุกประเภท'!H15</f>
        <v>0</v>
      </c>
      <c r="I15" s="184">
        <f>'1.1รวมยาทั้งหมด(1+2+3+4)'!I15+'2.รวมวชย ทุกประเภท'!I15</f>
        <v>0</v>
      </c>
      <c r="J15" s="184">
        <f>'1.1รวมยาทั้งหมด(1+2+3+4)'!J15+'2.รวมวชย ทุกประเภท'!J15</f>
        <v>0</v>
      </c>
      <c r="K15" s="184">
        <f>'1.1รวมยาทั้งหมด(1+2+3+4)'!K15+'2.รวมวชย ทุกประเภท'!K15</f>
        <v>0</v>
      </c>
      <c r="L15" s="184">
        <f>'1.1รวมยาทั้งหมด(1+2+3+4)'!L15+'2.รวมวชย ทุกประเภท'!L15</f>
        <v>0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99687.63</v>
      </c>
      <c r="P15" s="319">
        <f t="shared" si="0"/>
        <v>5.3177809179753628E-2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9146.1</v>
      </c>
      <c r="E16" s="184">
        <f>'1.1รวมยาทั้งหมด(1+2+3+4)'!E16+'2.รวมวชย ทุกประเภท'!E16</f>
        <v>11570.3</v>
      </c>
      <c r="F16" s="184">
        <f>'1.1รวมยาทั้งหมด(1+2+3+4)'!F16+'2.รวมวชย ทุกประเภท'!F16</f>
        <v>8068.3600000000006</v>
      </c>
      <c r="G16" s="184">
        <f>'1.1รวมยาทั้งหมด(1+2+3+4)'!G16+'2.รวมวชย ทุกประเภท'!G16</f>
        <v>10562.09</v>
      </c>
      <c r="H16" s="184">
        <f>'1.1รวมยาทั้งหมด(1+2+3+4)'!H16+'2.รวมวชย ทุกประเภท'!H16</f>
        <v>0</v>
      </c>
      <c r="I16" s="184">
        <f>'1.1รวมยาทั้งหมด(1+2+3+4)'!I16+'2.รวมวชย ทุกประเภท'!I16</f>
        <v>0</v>
      </c>
      <c r="J16" s="184">
        <f>'1.1รวมยาทั้งหมด(1+2+3+4)'!J16+'2.รวมวชย ทุกประเภท'!J16</f>
        <v>0</v>
      </c>
      <c r="K16" s="184">
        <f>'1.1รวมยาทั้งหมด(1+2+3+4)'!K16+'2.รวมวชย ทุกประเภท'!K16</f>
        <v>0</v>
      </c>
      <c r="L16" s="184">
        <f>'1.1รวมยาทั้งหมด(1+2+3+4)'!L16+'2.รวมวชย ทุกประเภท'!L16</f>
        <v>0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52617.399999999994</v>
      </c>
      <c r="P16" s="319">
        <f t="shared" si="0"/>
        <v>2.8068458009632369E-2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355.44</v>
      </c>
      <c r="E17" s="184">
        <f>'1.1รวมยาทั้งหมด(1+2+3+4)'!E17+'2.รวมวชย ทุกประเภท'!E17</f>
        <v>15658.08</v>
      </c>
      <c r="F17" s="184">
        <f>'1.1รวมยาทั้งหมด(1+2+3+4)'!F17+'2.รวมวชย ทุกประเภท'!F17</f>
        <v>43357.509999999995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0</v>
      </c>
      <c r="I17" s="184">
        <f>'1.1รวมยาทั้งหมด(1+2+3+4)'!I17+'2.รวมวชย ทุกประเภท'!I17</f>
        <v>0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0</v>
      </c>
      <c r="L17" s="184">
        <f>'1.1รวมยาทั้งหมด(1+2+3+4)'!L17+'2.รวมวชย ทุกประเภท'!L17</f>
        <v>0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73692.03</v>
      </c>
      <c r="P17" s="319">
        <f t="shared" si="0"/>
        <v>3.9310601620368341E-2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7097.82</v>
      </c>
      <c r="E18" s="184">
        <f>'1.1รวมยาทั้งหมด(1+2+3+4)'!E18+'2.รวมวชย ทุกประเภท'!E18</f>
        <v>10179.59</v>
      </c>
      <c r="F18" s="184">
        <f>'1.1รวมยาทั้งหมด(1+2+3+4)'!F18+'2.รวมวชย ทุกประเภท'!F18</f>
        <v>6616.52</v>
      </c>
      <c r="G18" s="184">
        <f>'1.1รวมยาทั้งหมด(1+2+3+4)'!G18+'2.รวมวชย ทุกประเภท'!G18</f>
        <v>11227.51</v>
      </c>
      <c r="H18" s="184">
        <f>'1.1รวมยาทั้งหมด(1+2+3+4)'!H18+'2.รวมวชย ทุกประเภท'!H18</f>
        <v>0</v>
      </c>
      <c r="I18" s="184">
        <f>'1.1รวมยาทั้งหมด(1+2+3+4)'!I18+'2.รวมวชย ทุกประเภท'!I18</f>
        <v>0</v>
      </c>
      <c r="J18" s="184">
        <f>'1.1รวมยาทั้งหมด(1+2+3+4)'!J18+'2.รวมวชย ทุกประเภท'!J18</f>
        <v>0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0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49165.640000000007</v>
      </c>
      <c r="P18" s="319">
        <f t="shared" si="0"/>
        <v>2.622713592569572E-2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18335.96</v>
      </c>
      <c r="E19" s="184">
        <f>'1.1รวมยาทั้งหมด(1+2+3+4)'!E19+'2.รวมวชย ทุกประเภท'!E19</f>
        <v>26410.31</v>
      </c>
      <c r="F19" s="184">
        <f>'1.1รวมยาทั้งหมด(1+2+3+4)'!F19+'2.รวมวชย ทุกประเภท'!F19</f>
        <v>13477.5</v>
      </c>
      <c r="G19" s="184">
        <f>'1.1รวมยาทั้งหมด(1+2+3+4)'!G19+'2.รวมวชย ทุกประเภท'!G19</f>
        <v>47333.1</v>
      </c>
      <c r="H19" s="184">
        <f>'1.1รวมยาทั้งหมด(1+2+3+4)'!H19+'2.รวมวชย ทุกประเภท'!H19</f>
        <v>0</v>
      </c>
      <c r="I19" s="184">
        <f>'1.1รวมยาทั้งหมด(1+2+3+4)'!I19+'2.รวมวชย ทุกประเภท'!I19</f>
        <v>0</v>
      </c>
      <c r="J19" s="184">
        <f>'1.1รวมยาทั้งหมด(1+2+3+4)'!J19+'2.รวมวชย ทุกประเภท'!J19</f>
        <v>0</v>
      </c>
      <c r="K19" s="184">
        <f>'1.1รวมยาทั้งหมด(1+2+3+4)'!K19+'2.รวมวชย ทุกประเภท'!K19</f>
        <v>0</v>
      </c>
      <c r="L19" s="184">
        <f>'1.1รวมยาทั้งหมด(1+2+3+4)'!L19+'2.รวมวชย ทุกประเภท'!L19</f>
        <v>0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114116.87</v>
      </c>
      <c r="P19" s="319">
        <f t="shared" si="0"/>
        <v>6.0875006628713618E-2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11166</v>
      </c>
      <c r="F20" s="184">
        <f>'1.1รวมยาทั้งหมด(1+2+3+4)'!F20+'2.รวมวชย ทุกประเภท'!F20</f>
        <v>13952.2</v>
      </c>
      <c r="G20" s="184">
        <f>'1.1รวมยาทั้งหมด(1+2+3+4)'!G20+'2.รวมวชย ทุกประเภท'!G20</f>
        <v>18005.449999999997</v>
      </c>
      <c r="H20" s="184">
        <f>'1.1รวมยาทั้งหมด(1+2+3+4)'!H20+'2.รวมวชย ทุกประเภท'!H20</f>
        <v>0</v>
      </c>
      <c r="I20" s="184">
        <f>'1.1รวมยาทั้งหมด(1+2+3+4)'!I20+'2.รวมวชย ทุกประเภท'!I20</f>
        <v>0</v>
      </c>
      <c r="J20" s="184">
        <f>'1.1รวมยาทั้งหมด(1+2+3+4)'!J20+'2.รวมวชย ทุกประเภท'!J20</f>
        <v>0</v>
      </c>
      <c r="K20" s="184">
        <f>'1.1รวมยาทั้งหมด(1+2+3+4)'!K20+'2.รวมวชย ทุกประเภท'!K20</f>
        <v>0</v>
      </c>
      <c r="L20" s="184">
        <f>'1.1รวมยาทั้งหมด(1+2+3+4)'!L20+'2.รวมวชย ทุกประเภท'!L20</f>
        <v>0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61265.83</v>
      </c>
      <c r="P20" s="319">
        <f t="shared" si="0"/>
        <v>3.2681914666636426E-2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17908.989999999998</v>
      </c>
      <c r="E21" s="184">
        <f>'1.1รวมยาทั้งหมด(1+2+3+4)'!E21+'2.รวมวชย ทุกประเภท'!E21</f>
        <v>14141.57</v>
      </c>
      <c r="F21" s="184">
        <f>'1.1รวมยาทั้งหมด(1+2+3+4)'!F21+'2.รวมวชย ทุกประเภท'!F21</f>
        <v>18817.66</v>
      </c>
      <c r="G21" s="184">
        <f>'1.1รวมยาทั้งหมด(1+2+3+4)'!G21+'2.รวมวชย ทุกประเภท'!G21</f>
        <v>19003.87</v>
      </c>
      <c r="H21" s="184">
        <f>'1.1รวมยาทั้งหมด(1+2+3+4)'!H21+'2.รวมวชย ทุกประเภท'!H21</f>
        <v>0</v>
      </c>
      <c r="I21" s="184">
        <f>'1.1รวมยาทั้งหมด(1+2+3+4)'!I21+'2.รวมวชย ทุกประเภท'!I21</f>
        <v>0</v>
      </c>
      <c r="J21" s="184">
        <f>'1.1รวมยาทั้งหมด(1+2+3+4)'!J21+'2.รวมวชย ทุกประเภท'!J21</f>
        <v>0</v>
      </c>
      <c r="K21" s="184">
        <f>'1.1รวมยาทั้งหมด(1+2+3+4)'!K21+'2.รวมวชย ทุกประเภท'!K21</f>
        <v>0</v>
      </c>
      <c r="L21" s="184">
        <f>'1.1รวมยาทั้งหมด(1+2+3+4)'!L21+'2.รวมวชย ทุกประเภท'!L21</f>
        <v>0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87979.199999999997</v>
      </c>
      <c r="P21" s="319">
        <f t="shared" si="0"/>
        <v>4.6932012621700207E-2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3503.1</v>
      </c>
      <c r="E22" s="184">
        <f>'1.1รวมยาทั้งหมด(1+2+3+4)'!E22+'2.รวมวชย ทุกประเภท'!E22</f>
        <v>11983.75</v>
      </c>
      <c r="F22" s="184">
        <f>'1.1รวมยาทั้งหมด(1+2+3+4)'!F22+'2.รวมวชย ทุกประเภท'!F22</f>
        <v>8402.0300000000007</v>
      </c>
      <c r="G22" s="184">
        <f>'1.1รวมยาทั้งหมด(1+2+3+4)'!G22+'2.รวมวชย ทุกประเภท'!G22</f>
        <v>7571.19</v>
      </c>
      <c r="H22" s="184">
        <f>'1.1รวมยาทั้งหมด(1+2+3+4)'!H22+'2.รวมวชย ทุกประเภท'!H22</f>
        <v>0</v>
      </c>
      <c r="I22" s="184">
        <f>'1.1รวมยาทั้งหมด(1+2+3+4)'!I22+'2.รวมวชย ทุกประเภท'!I22</f>
        <v>0</v>
      </c>
      <c r="J22" s="184">
        <f>'1.1รวมยาทั้งหมด(1+2+3+4)'!J22+'2.รวมวชย ทุกประเภท'!J22</f>
        <v>0</v>
      </c>
      <c r="K22" s="184">
        <f>'1.1รวมยาทั้งหมด(1+2+3+4)'!K22+'2.รวมวชย ทุกประเภท'!K22</f>
        <v>0</v>
      </c>
      <c r="L22" s="184">
        <f>'1.1รวมยาทั้งหมด(1+2+3+4)'!L22+'2.รวมวชย ทุกประเภท'!L22</f>
        <v>0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36980.25</v>
      </c>
      <c r="P22" s="319">
        <f t="shared" si="0"/>
        <v>1.9726907720843439E-2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397104.76</v>
      </c>
      <c r="E23" s="189">
        <f t="shared" si="2"/>
        <v>322466.82</v>
      </c>
      <c r="F23" s="189">
        <f t="shared" si="2"/>
        <v>457012.75000000006</v>
      </c>
      <c r="G23" s="189">
        <f t="shared" si="2"/>
        <v>376737.46</v>
      </c>
      <c r="H23" s="189">
        <f t="shared" si="2"/>
        <v>0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307">
        <f t="shared" si="1"/>
        <v>1874609.57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397104.76</v>
      </c>
      <c r="E27" s="206">
        <f t="shared" si="4"/>
        <v>322466.82</v>
      </c>
      <c r="F27" s="206">
        <f t="shared" si="4"/>
        <v>457012.75000000006</v>
      </c>
      <c r="G27" s="206">
        <f t="shared" si="4"/>
        <v>376737.46</v>
      </c>
      <c r="H27" s="206">
        <f t="shared" si="4"/>
        <v>0</v>
      </c>
      <c r="I27" s="206">
        <f t="shared" si="4"/>
        <v>0</v>
      </c>
      <c r="J27" s="206">
        <f t="shared" si="4"/>
        <v>0</v>
      </c>
      <c r="K27" s="206">
        <f t="shared" si="4"/>
        <v>0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1"/>
        <v>1874609.57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2019-03-12T07:12:18Z</cp:lastPrinted>
  <dcterms:created xsi:type="dcterms:W3CDTF">2017-10-13T14:25:05Z</dcterms:created>
  <dcterms:modified xsi:type="dcterms:W3CDTF">2019-03-12T07:14:29Z</dcterms:modified>
</cp:coreProperties>
</file>