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0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F27" i="6" l="1"/>
  <c r="F23" i="6"/>
  <c r="F24" i="7"/>
  <c r="F27" i="7" s="1"/>
  <c r="F24" i="2"/>
  <c r="F27" i="2" s="1"/>
  <c r="F23" i="7"/>
  <c r="F27" i="8"/>
  <c r="F24" i="8"/>
  <c r="F23" i="8"/>
  <c r="F27" i="11"/>
  <c r="F23" i="11"/>
  <c r="F27" i="9"/>
  <c r="F23" i="9"/>
  <c r="F22" i="7"/>
  <c r="F21" i="11"/>
  <c r="F21" i="7"/>
  <c r="F19" i="7"/>
  <c r="F18" i="7"/>
  <c r="F17" i="7"/>
  <c r="F16" i="7"/>
  <c r="F14" i="7"/>
  <c r="F13" i="7"/>
  <c r="F12" i="7"/>
  <c r="F11" i="7"/>
  <c r="F10" i="7"/>
  <c r="F9" i="7"/>
  <c r="F6" i="11"/>
  <c r="F6" i="7"/>
  <c r="F5" i="7"/>
  <c r="F5" i="11"/>
  <c r="F27" i="4"/>
  <c r="F26" i="4"/>
  <c r="F24" i="4"/>
  <c r="F23" i="4"/>
  <c r="F16" i="4"/>
  <c r="F14" i="4"/>
  <c r="F13" i="4"/>
  <c r="F12" i="4"/>
  <c r="F10" i="4"/>
  <c r="F9" i="4"/>
  <c r="F5" i="4"/>
  <c r="F26" i="2"/>
  <c r="F23" i="2"/>
  <c r="F21" i="2"/>
  <c r="F19" i="2"/>
  <c r="F18" i="2"/>
  <c r="F17" i="2"/>
  <c r="F16" i="2"/>
  <c r="F15" i="2"/>
  <c r="F14" i="2"/>
  <c r="F13" i="2"/>
  <c r="F12" i="2"/>
  <c r="F11" i="2"/>
  <c r="F10" i="2"/>
  <c r="F9" i="2"/>
  <c r="F6" i="2"/>
  <c r="F5" i="2"/>
  <c r="F26" i="7" l="1"/>
  <c r="E27" i="7"/>
  <c r="E26" i="7"/>
  <c r="E20" i="7"/>
  <c r="E27" i="6" l="1"/>
  <c r="E23" i="6"/>
  <c r="E15" i="9"/>
  <c r="E23" i="9" s="1"/>
  <c r="E27" i="9" s="1"/>
  <c r="E23" i="11"/>
  <c r="E27" i="11" s="1"/>
  <c r="E15" i="7"/>
  <c r="E23" i="7" s="1"/>
  <c r="E15" i="6"/>
  <c r="E27" i="12"/>
  <c r="E24" i="2"/>
  <c r="E26" i="2" s="1"/>
  <c r="E24" i="11"/>
  <c r="E24" i="7"/>
  <c r="E27" i="8"/>
  <c r="E23" i="8"/>
  <c r="E27" i="10"/>
  <c r="E26" i="10"/>
  <c r="E23" i="10"/>
  <c r="E26" i="12"/>
  <c r="E23" i="12"/>
  <c r="E21" i="7"/>
  <c r="E20" i="11"/>
  <c r="E19" i="11"/>
  <c r="E19" i="7"/>
  <c r="E18" i="11"/>
  <c r="E18" i="7"/>
  <c r="E17" i="11"/>
  <c r="E17" i="7"/>
  <c r="E16" i="7"/>
  <c r="E14" i="11"/>
  <c r="E14" i="7"/>
  <c r="E13" i="11"/>
  <c r="E13" i="7"/>
  <c r="E12" i="9"/>
  <c r="E12" i="7"/>
  <c r="E12" i="11"/>
  <c r="E10" i="11"/>
  <c r="E11" i="7"/>
  <c r="E8" i="9"/>
  <c r="E8" i="7"/>
  <c r="E7" i="9"/>
  <c r="E7" i="7"/>
  <c r="E6" i="7"/>
  <c r="E5" i="7"/>
  <c r="E27" i="4"/>
  <c r="E26" i="4"/>
  <c r="E23" i="4"/>
  <c r="E15" i="4"/>
  <c r="E12" i="2"/>
  <c r="E12" i="4"/>
  <c r="E9" i="4"/>
  <c r="E6" i="4"/>
  <c r="E5" i="4"/>
  <c r="E23" i="2"/>
  <c r="E20" i="2"/>
  <c r="E19" i="2"/>
  <c r="E18" i="2"/>
  <c r="E17" i="2"/>
  <c r="E15" i="2"/>
  <c r="E14" i="2"/>
  <c r="E13" i="2"/>
  <c r="E11" i="2"/>
  <c r="E10" i="2"/>
  <c r="E8" i="2"/>
  <c r="E27" i="2" l="1"/>
  <c r="D27" i="6"/>
  <c r="D23" i="6"/>
  <c r="D27" i="11"/>
  <c r="D26" i="11"/>
  <c r="D23" i="11"/>
  <c r="D27" i="8"/>
  <c r="D26" i="8"/>
  <c r="D27" i="7"/>
  <c r="D26" i="7"/>
  <c r="D27" i="9"/>
  <c r="D23" i="9"/>
  <c r="D24" i="7"/>
  <c r="D23" i="7"/>
  <c r="D22" i="9"/>
  <c r="D22" i="11"/>
  <c r="D22" i="7"/>
  <c r="D21" i="7"/>
  <c r="D20" i="7"/>
  <c r="D19" i="7"/>
  <c r="D18" i="7"/>
  <c r="D16" i="7"/>
  <c r="D15" i="7"/>
  <c r="D14" i="7"/>
  <c r="D13" i="7"/>
  <c r="D12" i="7"/>
  <c r="D11" i="7"/>
  <c r="D10" i="7"/>
  <c r="D9" i="7"/>
  <c r="D9" i="9"/>
  <c r="D8" i="7"/>
  <c r="D7" i="11"/>
  <c r="D7" i="7"/>
  <c r="D5" i="9"/>
  <c r="D5" i="7"/>
  <c r="D5" i="11"/>
  <c r="D27" i="4"/>
  <c r="D26" i="4"/>
  <c r="D23" i="4"/>
  <c r="D22" i="4"/>
  <c r="D20" i="4"/>
  <c r="D13" i="4"/>
  <c r="D12" i="4"/>
  <c r="D9" i="4"/>
  <c r="D7" i="4"/>
  <c r="D6" i="4"/>
  <c r="D5" i="4"/>
  <c r="D27" i="2"/>
  <c r="D26" i="2"/>
  <c r="D24" i="2"/>
  <c r="D23" i="2"/>
  <c r="D22" i="2"/>
  <c r="D20" i="2"/>
  <c r="D19" i="2"/>
  <c r="D17" i="2"/>
  <c r="D15" i="2"/>
  <c r="D14" i="2"/>
  <c r="D13" i="2"/>
  <c r="D12" i="2"/>
  <c r="D11" i="2"/>
  <c r="D10" i="2"/>
  <c r="D9" i="2"/>
  <c r="D8" i="2"/>
  <c r="D6" i="2"/>
  <c r="D5" i="2"/>
  <c r="C7" i="4" l="1"/>
  <c r="C5" i="2"/>
  <c r="C5" i="4"/>
  <c r="O27" i="12" l="1"/>
  <c r="O26" i="12"/>
  <c r="O24" i="12"/>
  <c r="O23" i="12"/>
  <c r="O11" i="12"/>
  <c r="O5" i="12"/>
  <c r="C27" i="10"/>
  <c r="C26" i="10"/>
  <c r="C27" i="9"/>
  <c r="C23" i="9"/>
  <c r="C27" i="11"/>
  <c r="C26" i="11"/>
  <c r="C23" i="11"/>
  <c r="C27" i="8"/>
  <c r="C23" i="8"/>
  <c r="C27" i="7"/>
  <c r="C26" i="7"/>
  <c r="C23" i="7"/>
  <c r="C26" i="4"/>
  <c r="C23" i="6"/>
  <c r="C27" i="6" s="1"/>
  <c r="C7" i="7"/>
  <c r="C7" i="2"/>
  <c r="C23" i="10"/>
  <c r="C27" i="12"/>
  <c r="C23" i="12"/>
  <c r="C24" i="7"/>
  <c r="C22" i="7"/>
  <c r="C21" i="9"/>
  <c r="C21" i="7"/>
  <c r="C18" i="11"/>
  <c r="C18" i="7"/>
  <c r="C16" i="9"/>
  <c r="C17" i="7"/>
  <c r="C16" i="7"/>
  <c r="C15" i="7"/>
  <c r="C15" i="11" l="1"/>
  <c r="C13" i="7"/>
  <c r="C12" i="7"/>
  <c r="C11" i="7"/>
  <c r="C10" i="11"/>
  <c r="C7" i="10"/>
  <c r="C6" i="7"/>
  <c r="C5" i="12"/>
  <c r="C5" i="9"/>
  <c r="C5" i="7"/>
  <c r="C5" i="11"/>
  <c r="C23" i="4"/>
  <c r="C27" i="4" s="1"/>
  <c r="C21" i="4"/>
  <c r="C17" i="4"/>
  <c r="C9" i="4"/>
  <c r="C26" i="2"/>
  <c r="C23" i="2"/>
  <c r="C27" i="2" s="1"/>
  <c r="C21" i="2"/>
  <c r="C18" i="2"/>
  <c r="C17" i="2"/>
  <c r="C16" i="2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10" l="1"/>
  <c r="O27" i="4"/>
  <c r="O23" i="2"/>
  <c r="O27" i="10"/>
  <c r="O23" i="10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C2" i="11"/>
  <c r="C2" i="8"/>
  <c r="C2" i="7"/>
  <c r="O26" i="16"/>
  <c r="O25" i="16"/>
  <c r="O24" i="16"/>
  <c r="C2" i="16"/>
  <c r="C2" i="14"/>
  <c r="C2" i="13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C23" i="13" l="1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P26" i="8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<sst xmlns="http://schemas.openxmlformats.org/spreadsheetml/2006/main" count="734" uniqueCount="87">
  <si>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</si>
  <si>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</si>
  <si>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</si>
  <si>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</si>
  <si>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</si>
  <si>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</si>
  <si>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</si>
  <si>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</si>
  <si>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</si>
  <si>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</si>
  <si>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</si>
  <si>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</si>
  <si>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</si>
  <si>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</si>
  <si>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</si>
  <si>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</si>
  <si>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</si>
  <si>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</si>
  <si>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</si>
  <si>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</si>
  <si>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</si>
  <si>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</si>
  <si>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</si>
  <si>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</si>
  <si>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</si>
  <si>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</si>
  <si>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</si>
  <si>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</si>
  <si>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</si>
  <si>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</si>
  <si>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</si>
  <si>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</si>
  <si>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</si>
  <si>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</si>
  <si>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</si>
  <si>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</si>
  <si>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</si>
  <si>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</si>
  <si>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</si>
  <si>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</si>
  <si>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</si>
  <si>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</si>
  <si>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</si>
  <si>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</si>
  <si>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</si>
  <si>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</si>
  <si>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</si>
  <si>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</si>
  <si>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</si>
  <si>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</si>
  <si>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</si>
  <si>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</si>
  <si>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</si>
  <si>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</si>
  <si>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</si>
  <si>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</si>
  <si>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</si>
  <si>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</si>
  <si>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</si>
  <si>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</si>
  <si>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</si>
  <si>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</si>
  <si>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</si>
  <si>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</si>
  <si>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</si>
  <si>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</si>
  <si>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</si>
  <si>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</si>
  <si>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</si>
  <si>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</si>
  <si>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</si>
  <si>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</si>
  <si>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</si>
  <si>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</si>
  <si>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</si>
  <si>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</si>
  <si>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</si>
  <si>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</si>
  <si>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</si>
  <si>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</si>
  <si>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</si>
  <si>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</si>
  <si>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</si>
  <si>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</si>
  <si>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งานควบคุมโรค</t>
  </si>
  <si>
    <t xml:space="preserve"> ปีงบประมาณ   2563</t>
  </si>
  <si>
    <t>รายงานข้อมูลณ วันที่ 26/1/64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</si>
</sst>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  <numFmt numFmtId="192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192" fontId="10" fillId="4" borderId="1" xfId="2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190" fontId="6" fillId="2" borderId="1" xfId="0" applyNumberFormat="1" applyFont="1" applyFill="1" applyBorder="1" applyAlignment="1">
      <alignment horizontal="right" vertical="center" shrinkToFit="1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85</v>
      </c>
      <c r="E3" s="229"/>
    </row>
    <row r="4" spans="2:5" s="226" customFormat="1" ht="22.5" customHeight="1" x14ac:dyDescent="0.2">
      <c r="B4" s="224"/>
      <c r="C4" s="230"/>
      <c r="D4" s="231" t="s">
        <v>86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242548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1732864.13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2196814.3699999996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2196814.3699999996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2563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26/1/64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4" t="s">
        <v>49</v>
      </c>
      <c r="M29" s="364"/>
      <c r="N29" s="364"/>
      <c r="O29" s="309"/>
      <c r="P29" s="354"/>
    </row>
    <row r="30" spans="1:16" s="115" customFormat="1" ht="18" customHeight="1" x14ac:dyDescent="0.45">
      <c r="A30" s="254"/>
      <c r="B30" s="256"/>
      <c r="G30" s="364" t="s">
        <v>79</v>
      </c>
      <c r="H30" s="364"/>
      <c r="I30" s="364"/>
      <c r="J30" s="121"/>
      <c r="K30" s="121"/>
      <c r="L30" s="364"/>
      <c r="M30" s="364"/>
      <c r="N30" s="364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72" zoomScaleNormal="172" workbookViewId="0">
      <selection activeCell="F25" sqref="F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26/1/64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15539.71-158-72.5-72.5-550-440-550-225-1800</f>
        <v>11671.71</v>
      </c>
      <c r="D5" s="36">
        <f>15339.74-158-550-330-1560-2700-345+750+4302.5</f>
        <v>14749.24</v>
      </c>
      <c r="E5" s="36">
        <f>14345.17-1560-145-550-225</f>
        <v>11865.17</v>
      </c>
      <c r="F5" s="36">
        <f>18530.3-1560-550-1100+1320</f>
        <v>16640.3</v>
      </c>
      <c r="G5" s="36"/>
      <c r="H5" s="36"/>
      <c r="I5" s="36"/>
      <c r="J5" s="36"/>
      <c r="K5" s="36"/>
      <c r="L5" s="36"/>
      <c r="M5" s="36"/>
      <c r="N5" s="36"/>
      <c r="O5" s="355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f>5210-780</f>
        <v>4430</v>
      </c>
      <c r="D6" s="36">
        <v>8502.9</v>
      </c>
      <c r="E6" s="36">
        <f>3892.67+170-1560</f>
        <v>2502.67</v>
      </c>
      <c r="F6" s="36">
        <f>10436.25+175-237+1430+1900</f>
        <v>13704.25</v>
      </c>
      <c r="G6" s="36"/>
      <c r="H6" s="36"/>
      <c r="I6" s="36"/>
      <c r="J6" s="36"/>
      <c r="K6" s="36"/>
      <c r="L6" s="36"/>
      <c r="M6" s="36"/>
      <c r="N6" s="36"/>
      <c r="O6" s="355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f>390+221.25+88.5+2630.4</f>
        <v>3330.15</v>
      </c>
      <c r="D7" s="36">
        <f>650+6743.5-110</f>
        <v>7283.5</v>
      </c>
      <c r="E7" s="36">
        <f>2138.24+260-190-79</f>
        <v>2129.2399999999998</v>
      </c>
      <c r="F7" s="36">
        <v>4414.6000000000004</v>
      </c>
      <c r="G7" s="36"/>
      <c r="H7" s="36"/>
      <c r="I7" s="36"/>
      <c r="J7" s="36"/>
      <c r="K7" s="36"/>
      <c r="L7" s="36"/>
      <c r="M7" s="36"/>
      <c r="N7" s="36"/>
      <c r="O7" s="355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95+13987.35-225-550-3600-750</f>
        <v>8957.35</v>
      </c>
      <c r="E8" s="36">
        <f>22741.9-1125-5400-1499.7-1100-550-220-220</f>
        <v>12627.2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355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4198.5-750-400-220</f>
        <v>2828.5</v>
      </c>
      <c r="E9" s="36">
        <v>0</v>
      </c>
      <c r="F9" s="36">
        <f>4793.18-112-75-225+6966.04-1400</f>
        <v>9947.2200000000012</v>
      </c>
      <c r="G9" s="36"/>
      <c r="H9" s="36"/>
      <c r="I9" s="36"/>
      <c r="J9" s="36"/>
      <c r="K9" s="36"/>
      <c r="L9" s="36"/>
      <c r="M9" s="36"/>
      <c r="N9" s="36"/>
      <c r="O9" s="355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3356</v>
      </c>
      <c r="D10" s="36">
        <f>4198.5-750-400-220</f>
        <v>2828.5</v>
      </c>
      <c r="E10" s="36">
        <v>3840</v>
      </c>
      <c r="F10" s="36">
        <f>310.3+74.9+160+130</f>
        <v>675.2</v>
      </c>
      <c r="G10" s="36"/>
      <c r="H10" s="36"/>
      <c r="I10" s="36"/>
      <c r="J10" s="36"/>
      <c r="K10" s="36"/>
      <c r="L10" s="36"/>
      <c r="M10" s="36"/>
      <c r="N10" s="36"/>
      <c r="O10" s="355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f>5405.58-115-190-145-700</f>
        <v>4255.58</v>
      </c>
      <c r="D11" s="36">
        <f>3562.95-145-1050</f>
        <v>2367.9499999999998</v>
      </c>
      <c r="E11" s="36">
        <f>7710.4-75-550-280-700+155</f>
        <v>6260.4</v>
      </c>
      <c r="F11" s="36">
        <f>5901.45-175</f>
        <v>5726.45</v>
      </c>
      <c r="G11" s="36"/>
      <c r="H11" s="36"/>
      <c r="I11" s="36"/>
      <c r="J11" s="36"/>
      <c r="K11" s="36"/>
      <c r="L11" s="36"/>
      <c r="M11" s="36"/>
      <c r="N11" s="36"/>
      <c r="O11" s="355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f>2745.5-330</f>
        <v>2415.5</v>
      </c>
      <c r="D12" s="36">
        <f>5902.58-1240-550-300+1660</f>
        <v>5472.58</v>
      </c>
      <c r="E12" s="36">
        <f>8698-1300-79-550-330+128.4+475</f>
        <v>7042.4</v>
      </c>
      <c r="F12" s="36">
        <f>712.56-260+4386-110+1251.82-150</f>
        <v>5830.3799999999992</v>
      </c>
      <c r="G12" s="36"/>
      <c r="H12" s="36"/>
      <c r="I12" s="36"/>
      <c r="J12" s="36"/>
      <c r="K12" s="36"/>
      <c r="L12" s="36"/>
      <c r="M12" s="36"/>
      <c r="N12" s="36"/>
      <c r="O12" s="355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f>208+168</f>
        <v>376</v>
      </c>
      <c r="D13" s="36">
        <f>4861.48+4946.26</f>
        <v>9807.74</v>
      </c>
      <c r="E13" s="36">
        <f>4921+580-230-220</f>
        <v>5051</v>
      </c>
      <c r="F13" s="36">
        <f>1039.08-190</f>
        <v>849.07999999999993</v>
      </c>
      <c r="G13" s="36"/>
      <c r="H13" s="36"/>
      <c r="I13" s="36"/>
      <c r="J13" s="36"/>
      <c r="K13" s="36"/>
      <c r="L13" s="36"/>
      <c r="M13" s="36"/>
      <c r="N13" s="36"/>
      <c r="O13" s="355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f>4647.62-1080-550</f>
        <v>3017.62</v>
      </c>
      <c r="E14" s="36">
        <f>2312.72-175-75-110-220</f>
        <v>1732.7199999999998</v>
      </c>
      <c r="F14" s="36">
        <f>1305.36-375+525+2125+89.88</f>
        <v>3670.24</v>
      </c>
      <c r="G14" s="36"/>
      <c r="H14" s="36"/>
      <c r="I14" s="36"/>
      <c r="J14" s="36"/>
      <c r="K14" s="36"/>
      <c r="L14" s="36"/>
      <c r="M14" s="36"/>
      <c r="N14" s="36"/>
      <c r="O14" s="355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f>7296.5-1100-220-975</f>
        <v>5001.5</v>
      </c>
      <c r="D15" s="36">
        <f>8672.4-550</f>
        <v>8122.4</v>
      </c>
      <c r="E15" s="36">
        <f>2595.46-150+575+224.7+2430-1800-220</f>
        <v>3655.16</v>
      </c>
      <c r="F15" s="36">
        <v>3314.3</v>
      </c>
      <c r="G15" s="36"/>
      <c r="H15" s="36"/>
      <c r="I15" s="36"/>
      <c r="J15" s="36"/>
      <c r="K15" s="36"/>
      <c r="L15" s="36"/>
      <c r="M15" s="36"/>
      <c r="N15" s="36"/>
      <c r="O15" s="355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f>1760.5-267.5</f>
        <v>1493</v>
      </c>
      <c r="D16" s="36">
        <f>3103.8-150-75-900</f>
        <v>1978.8000000000002</v>
      </c>
      <c r="E16" s="36">
        <f>475+312+100+115+375</f>
        <v>1377</v>
      </c>
      <c r="F16" s="36">
        <f>4831.23-500+70+58+115+200</f>
        <v>4774.2299999999996</v>
      </c>
      <c r="G16" s="36"/>
      <c r="H16" s="36"/>
      <c r="I16" s="36"/>
      <c r="J16" s="36"/>
      <c r="K16" s="36"/>
      <c r="L16" s="36"/>
      <c r="M16" s="36"/>
      <c r="N16" s="36"/>
      <c r="O16" s="355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f>3371.24-750-1185-325</f>
        <v>1111.2399999999998</v>
      </c>
      <c r="D17" s="36">
        <v>6882.3</v>
      </c>
      <c r="E17" s="36">
        <f>5697+89.88+43.22-1225-220</f>
        <v>4385.1000000000004</v>
      </c>
      <c r="F17" s="36">
        <f>3503.08+171.2</f>
        <v>3674.2799999999997</v>
      </c>
      <c r="G17" s="36"/>
      <c r="H17" s="36"/>
      <c r="I17" s="36"/>
      <c r="J17" s="36"/>
      <c r="K17" s="36"/>
      <c r="L17" s="36"/>
      <c r="M17" s="36"/>
      <c r="N17" s="36"/>
      <c r="O17" s="355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f>5859.95-900-440-350-175-525-325</f>
        <v>3144.95</v>
      </c>
      <c r="D18" s="36">
        <f>3028.26-190</f>
        <v>2838.26</v>
      </c>
      <c r="E18" s="36">
        <f>730+428.76+429.07</f>
        <v>1587.83</v>
      </c>
      <c r="F18" s="36">
        <f>260+1369.37+134.82</f>
        <v>1764.1899999999998</v>
      </c>
      <c r="G18" s="36"/>
      <c r="H18" s="36"/>
      <c r="I18" s="36"/>
      <c r="J18" s="36"/>
      <c r="K18" s="36"/>
      <c r="L18" s="36"/>
      <c r="M18" s="36"/>
      <c r="N18" s="36"/>
      <c r="O18" s="355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2637.5</v>
      </c>
      <c r="D19" s="36">
        <f>15084.13-300</f>
        <v>14784.13</v>
      </c>
      <c r="E19" s="36">
        <f>4110.74-720-150+186.18</f>
        <v>3426.9199999999996</v>
      </c>
      <c r="F19" s="36">
        <f>8592.4+385</f>
        <v>8977.4</v>
      </c>
      <c r="G19" s="36"/>
      <c r="H19" s="36"/>
      <c r="I19" s="36"/>
      <c r="J19" s="36"/>
      <c r="K19" s="36"/>
      <c r="L19" s="36"/>
      <c r="M19" s="36"/>
      <c r="N19" s="36"/>
      <c r="O19" s="355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642+642+695+2782</f>
        <v>4761</v>
      </c>
      <c r="E20" s="36">
        <f>3892.54</f>
        <v>3892.54</v>
      </c>
      <c r="F20" s="36">
        <v>2345.04</v>
      </c>
      <c r="G20" s="36"/>
      <c r="H20" s="36"/>
      <c r="I20" s="36"/>
      <c r="J20" s="36"/>
      <c r="K20" s="36"/>
      <c r="L20" s="36"/>
      <c r="M20" s="36"/>
      <c r="N20" s="36"/>
      <c r="O20" s="355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f>5762.5-267+2650-1800</f>
        <v>6345.5</v>
      </c>
      <c r="D21" s="36">
        <f>4408.72-735-150</f>
        <v>3523.7200000000003</v>
      </c>
      <c r="E21" s="36">
        <f>5375+400</f>
        <v>5775</v>
      </c>
      <c r="F21" s="36">
        <f>7671.9-500</f>
        <v>7171.9</v>
      </c>
      <c r="G21" s="36"/>
      <c r="H21" s="36"/>
      <c r="I21" s="36"/>
      <c r="J21" s="36"/>
      <c r="K21" s="36"/>
      <c r="L21" s="36"/>
      <c r="M21" s="36"/>
      <c r="N21" s="36"/>
      <c r="O21" s="355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f>3271.5-110</f>
        <v>3161.5</v>
      </c>
      <c r="D22" s="36">
        <f>6257.18-200-110-225-1800+269.64+280+600</f>
        <v>5071.8200000000006</v>
      </c>
      <c r="E22" s="36">
        <v>0</v>
      </c>
      <c r="F22" s="36">
        <f>3065.77-200</f>
        <v>2865.77</v>
      </c>
      <c r="G22" s="36"/>
      <c r="H22" s="36"/>
      <c r="I22" s="36"/>
      <c r="J22" s="36"/>
      <c r="K22" s="36"/>
      <c r="L22" s="36"/>
      <c r="M22" s="36"/>
      <c r="N22" s="36"/>
      <c r="O22" s="355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C22+C21+C20+C19+C18+C17+C16+C15+C14+C13+C12+C11+C10+C9+C8+C7+C6+C5</f>
        <v>52730.130000000005</v>
      </c>
      <c r="D23" s="42">
        <f>D21+D22+D20+D19+D18+D17+D16+D15+D14+D13+D12+D11+D10+D9+D8+D7+D6+D5</f>
        <v>113778.31000000001</v>
      </c>
      <c r="E23" s="42">
        <f>E21+E20+E19+E18+E17+E16+E15+E14+E13+E12+E11+E10+E9+E8+E7+E6+E5</f>
        <v>77150.350000000006</v>
      </c>
      <c r="F23" s="42">
        <f>F21+F22+F20+F19+F18+F17+F16+F15+F14+F13++F12+F11+F10+F9+F8+F7+F6+F5</f>
        <v>96344.83</v>
      </c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f>17026.7-72.5-550</f>
        <v>16404.2</v>
      </c>
      <c r="D24" s="36">
        <f>15222.03-1100</f>
        <v>14122.03</v>
      </c>
      <c r="E24" s="36">
        <f>19963.06-550+11787.98-1100-190</f>
        <v>29911.040000000001</v>
      </c>
      <c r="F24" s="36">
        <f>7385.21+1091.8</f>
        <v>8477.01</v>
      </c>
      <c r="G24" s="36"/>
      <c r="H24" s="36"/>
      <c r="I24" s="36"/>
      <c r="J24" s="36"/>
      <c r="K24" s="36"/>
      <c r="L24" s="36"/>
      <c r="M24" s="36"/>
      <c r="N24" s="36"/>
      <c r="O24" s="355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95"/>
      <c r="P25" s="286" t="e">
        <f t="shared" si="0"/>
        <v>#DIV/0!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C24</f>
        <v>16404.2</v>
      </c>
      <c r="D26" s="41">
        <f>D24</f>
        <v>14122.03</v>
      </c>
      <c r="E26" s="41">
        <f>E24</f>
        <v>29911.040000000001</v>
      </c>
      <c r="F26" s="41">
        <f>F24</f>
        <v>8477.01</v>
      </c>
      <c r="G26" s="41"/>
      <c r="H26" s="41"/>
      <c r="I26" s="41"/>
      <c r="J26" s="41"/>
      <c r="K26" s="41"/>
      <c r="L26" s="41"/>
      <c r="M26" s="41"/>
      <c r="N26" s="41"/>
      <c r="O26" s="271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C24+C23</f>
        <v>69134.33</v>
      </c>
      <c r="D27" s="278">
        <f>D24+D23</f>
        <v>127900.34000000001</v>
      </c>
      <c r="E27" s="278">
        <f>E24+E23</f>
        <v>107061.39000000001</v>
      </c>
      <c r="F27" s="278">
        <f>F24+F23</f>
        <v>104821.84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8" zoomScale="166" zoomScaleNormal="166" workbookViewId="0">
      <selection activeCell="F28" sqref="F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26/1/64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1560</v>
      </c>
      <c r="E5" s="36">
        <v>1560</v>
      </c>
      <c r="F5" s="36">
        <v>1560</v>
      </c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780</v>
      </c>
      <c r="D6" s="36">
        <v>0</v>
      </c>
      <c r="E6" s="36">
        <v>1560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780</v>
      </c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1300</v>
      </c>
      <c r="F12" s="36">
        <v>260</v>
      </c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375</v>
      </c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500</v>
      </c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780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500</v>
      </c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C6</f>
        <v>780</v>
      </c>
      <c r="D23" s="42">
        <v>1560</v>
      </c>
      <c r="E23" s="42">
        <f>E19+E12+E6+E5</f>
        <v>5200</v>
      </c>
      <c r="F23" s="42">
        <f>F21+F16+F14+F12+F10+F5</f>
        <v>3975</v>
      </c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f>0</f>
        <v>0</v>
      </c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f>D23</f>
        <v>1560</v>
      </c>
      <c r="E26" s="41">
        <v>0</v>
      </c>
      <c r="F26" s="41">
        <v>0</v>
      </c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780</v>
      </c>
      <c r="D27" s="278">
        <f>D23</f>
        <v>1560</v>
      </c>
      <c r="E27" s="278">
        <f>E23</f>
        <v>5200</v>
      </c>
      <c r="F27" s="278">
        <f>F23</f>
        <v>3975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8" zoomScale="160" zoomScaleNormal="160" workbookViewId="0">
      <selection activeCell="F28" sqref="F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26/1/64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550+440+550</f>
        <v>1540</v>
      </c>
      <c r="D5" s="36">
        <f>345+550+330</f>
        <v>1225</v>
      </c>
      <c r="E5" s="36">
        <v>550</v>
      </c>
      <c r="F5" s="36">
        <f>550+1100</f>
        <v>1650</v>
      </c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1127</v>
      </c>
      <c r="F6" s="36">
        <f>1100+230</f>
        <v>1330</v>
      </c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550+110</f>
        <v>660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660</v>
      </c>
      <c r="E9" s="36">
        <v>0</v>
      </c>
      <c r="F9" s="36">
        <v>112</v>
      </c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f>115+700</f>
        <v>815</v>
      </c>
      <c r="D10" s="36">
        <v>550</v>
      </c>
      <c r="E10" s="36">
        <f>550+280+700</f>
        <v>1530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330</v>
      </c>
      <c r="D11" s="36">
        <v>220</v>
      </c>
      <c r="E11" s="36">
        <v>0</v>
      </c>
      <c r="F11" s="36">
        <v>175</v>
      </c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550</v>
      </c>
      <c r="E12" s="36">
        <f>550+330</f>
        <v>880</v>
      </c>
      <c r="F12" s="36">
        <v>110</v>
      </c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f>220+230</f>
        <v>450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550</v>
      </c>
      <c r="E14" s="36">
        <f>220+110</f>
        <v>330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f>1100+220+975</f>
        <v>2295</v>
      </c>
      <c r="D15" s="36">
        <v>550</v>
      </c>
      <c r="E15" s="36">
        <v>220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325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f>220+1225+350</f>
        <v>1795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7" ht="17.25" customHeight="1" x14ac:dyDescent="0.2">
      <c r="A18" s="25">
        <v>15</v>
      </c>
      <c r="B18" s="26" t="s">
        <v>11</v>
      </c>
      <c r="C18" s="36">
        <f>440+175+525+325</f>
        <v>1465</v>
      </c>
      <c r="D18" s="36">
        <v>0</v>
      </c>
      <c r="E18" s="36">
        <f>130+100</f>
        <v>230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f>0</f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f>112+336</f>
        <v>448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550</v>
      </c>
      <c r="F21" s="36">
        <f>550+500</f>
        <v>1050</v>
      </c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7" ht="17.25" customHeight="1" x14ac:dyDescent="0.2">
      <c r="A22" s="25">
        <v>19</v>
      </c>
      <c r="B22" s="26" t="s">
        <v>15</v>
      </c>
      <c r="C22" s="36">
        <v>110</v>
      </c>
      <c r="D22" s="36">
        <f>110+112+700</f>
        <v>922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C22+C21+C20+C19+C18+C17+C16+C15+C14+C13+C12+C11+C10+C9+C8+C7+C6+C5</f>
        <v>6880</v>
      </c>
      <c r="D23" s="358">
        <f>D22+D21+D20+D19+D18+D17+D16+D15+D14+D13+D12+D11+D10+D9+D8+D7+D6+D5</f>
        <v>5887</v>
      </c>
      <c r="E23" s="42">
        <f>E21+E20+E18+E17+E14+E13+E12+E10+E6+E5+E15</f>
        <v>8110</v>
      </c>
      <c r="F23" s="42">
        <f>F21+F12+F11+F9+F6+F5</f>
        <v>4427</v>
      </c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7" ht="17.25" customHeight="1" x14ac:dyDescent="0.2">
      <c r="A24" s="30">
        <v>20</v>
      </c>
      <c r="B24" s="31" t="s">
        <v>16</v>
      </c>
      <c r="C24" s="36">
        <v>550</v>
      </c>
      <c r="D24" s="36">
        <v>1100</v>
      </c>
      <c r="E24" s="36">
        <f>1100</f>
        <v>1100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67"/>
      <c r="P24" s="286" t="e">
        <f t="shared" si="0"/>
        <v>#DIV/0!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C24</f>
        <v>550</v>
      </c>
      <c r="D26" s="41">
        <f>D24</f>
        <v>1100</v>
      </c>
      <c r="E26" s="41">
        <v>0</v>
      </c>
      <c r="F26" s="41">
        <v>0</v>
      </c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C23+C24</f>
        <v>7430</v>
      </c>
      <c r="D27" s="278">
        <f>D23+D24</f>
        <v>6987</v>
      </c>
      <c r="E27" s="278">
        <f>E23+E24</f>
        <v>9210</v>
      </c>
      <c r="F27" s="278">
        <f>F23</f>
        <v>4427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7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72" zoomScaleNormal="172" workbookViewId="0">
      <selection activeCell="F28" sqref="F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26/1/64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1800+158</f>
        <v>1958</v>
      </c>
      <c r="D5" s="36">
        <f>2700+158+2700</f>
        <v>5558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66">
        <f>SUM(C5:N5)</f>
        <v>7516</v>
      </c>
      <c r="P5" s="286">
        <f t="shared" ref="P5:P27" si="0">O5/$O$23</f>
        <v>0.16083541974278318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158</v>
      </c>
      <c r="F6" s="36">
        <v>237</v>
      </c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395</v>
      </c>
      <c r="P6" s="286">
        <f t="shared" si="0"/>
        <v>8.4526331557210413E-3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f>190+79</f>
        <v>269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66">
        <f t="shared" si="1"/>
        <v>269</v>
      </c>
      <c r="P7" s="286">
        <f t="shared" si="0"/>
        <v>5.7563501744024312E-3</v>
      </c>
    </row>
    <row r="8" spans="1:17" ht="17.25" customHeight="1" x14ac:dyDescent="0.2">
      <c r="A8" s="25">
        <v>4</v>
      </c>
      <c r="B8" s="26" t="s">
        <v>21</v>
      </c>
      <c r="C8" s="36">
        <v>3600</v>
      </c>
      <c r="D8" s="36">
        <v>0</v>
      </c>
      <c r="E8" s="36">
        <f>1125+5400+790</f>
        <v>7315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66">
        <f t="shared" si="1"/>
        <v>10915</v>
      </c>
      <c r="P8" s="286">
        <f t="shared" si="0"/>
        <v>0.23357086302454474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3600+750</f>
        <v>4350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66">
        <f t="shared" si="1"/>
        <v>4350</v>
      </c>
      <c r="P9" s="286">
        <f t="shared" si="0"/>
        <v>9.3085960069332993E-2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750</v>
      </c>
      <c r="E10" s="36">
        <v>75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66">
        <f t="shared" si="1"/>
        <v>825</v>
      </c>
      <c r="P10" s="286">
        <f t="shared" si="0"/>
        <v>1.7654233806252809E-2</v>
      </c>
    </row>
    <row r="11" spans="1:17" ht="17.25" customHeight="1" x14ac:dyDescent="0.2">
      <c r="A11" s="25">
        <v>7</v>
      </c>
      <c r="B11" s="26" t="s">
        <v>4</v>
      </c>
      <c r="C11" s="36">
        <v>190</v>
      </c>
      <c r="D11" s="36">
        <v>0</v>
      </c>
      <c r="E11" s="36">
        <v>1958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66">
        <f t="shared" si="1"/>
        <v>2148</v>
      </c>
      <c r="P11" s="286">
        <f t="shared" si="0"/>
        <v>4.5965205110098224E-2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f>316+79</f>
        <v>395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66">
        <f t="shared" si="1"/>
        <v>395</v>
      </c>
      <c r="P12" s="286">
        <f t="shared" si="0"/>
        <v>8.4526331557210413E-3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190</v>
      </c>
      <c r="G13" s="36"/>
      <c r="H13" s="36"/>
      <c r="I13" s="36"/>
      <c r="J13" s="36"/>
      <c r="K13" s="36"/>
      <c r="L13" s="36"/>
      <c r="M13" s="36"/>
      <c r="N13" s="36"/>
      <c r="O13" s="266">
        <f t="shared" si="1"/>
        <v>190</v>
      </c>
      <c r="P13" s="286">
        <f t="shared" si="0"/>
        <v>4.0658235432582228E-3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1080</v>
      </c>
      <c r="E14" s="36">
        <v>0</v>
      </c>
      <c r="F14" s="36">
        <v>375</v>
      </c>
      <c r="G14" s="36"/>
      <c r="H14" s="36"/>
      <c r="I14" s="36"/>
      <c r="J14" s="36"/>
      <c r="K14" s="36"/>
      <c r="L14" s="36"/>
      <c r="M14" s="36"/>
      <c r="N14" s="36"/>
      <c r="O14" s="266">
        <f t="shared" si="1"/>
        <v>1455</v>
      </c>
      <c r="P14" s="286">
        <f t="shared" si="0"/>
        <v>3.1135648712845864E-2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f>638+1800</f>
        <v>2438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66">
        <f t="shared" si="1"/>
        <v>2438</v>
      </c>
      <c r="P15" s="286">
        <f t="shared" si="0"/>
        <v>5.2170935781387089E-2</v>
      </c>
    </row>
    <row r="16" spans="1:17" ht="17.25" customHeight="1" x14ac:dyDescent="0.2">
      <c r="A16" s="25">
        <v>12</v>
      </c>
      <c r="B16" s="26" t="s">
        <v>9</v>
      </c>
      <c r="C16" s="36">
        <f>750+1185</f>
        <v>1935</v>
      </c>
      <c r="D16" s="36">
        <v>900</v>
      </c>
      <c r="E16" s="36">
        <v>0</v>
      </c>
      <c r="F16" s="36">
        <v>1440</v>
      </c>
      <c r="G16" s="36"/>
      <c r="H16" s="36"/>
      <c r="I16" s="36"/>
      <c r="J16" s="36"/>
      <c r="K16" s="36"/>
      <c r="L16" s="36"/>
      <c r="M16" s="36"/>
      <c r="N16" s="36"/>
      <c r="O16" s="266">
        <f t="shared" si="1"/>
        <v>4275</v>
      </c>
      <c r="P16" s="286">
        <f t="shared" si="0"/>
        <v>9.1481029723310014E-2</v>
      </c>
    </row>
    <row r="17" spans="1:16" ht="17.25" customHeight="1" x14ac:dyDescent="0.2">
      <c r="A17" s="25">
        <v>13</v>
      </c>
      <c r="B17" s="26" t="s">
        <v>10</v>
      </c>
      <c r="C17" s="36">
        <v>900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66">
        <f t="shared" si="1"/>
        <v>900</v>
      </c>
      <c r="P17" s="286">
        <f t="shared" si="0"/>
        <v>1.9259164152275791E-2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190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66">
        <f t="shared" si="1"/>
        <v>190</v>
      </c>
      <c r="P18" s="286">
        <f t="shared" si="0"/>
        <v>4.0658235432582228E-3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720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66">
        <f t="shared" si="1"/>
        <v>720</v>
      </c>
      <c r="P19" s="286">
        <f t="shared" si="0"/>
        <v>1.5407331321820632E-2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3600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6">
        <f t="shared" si="1"/>
        <v>3600</v>
      </c>
      <c r="P20" s="286">
        <f t="shared" si="0"/>
        <v>7.7036656609103166E-2</v>
      </c>
    </row>
    <row r="21" spans="1:16" ht="17.25" customHeight="1" x14ac:dyDescent="0.2">
      <c r="A21" s="25">
        <v>17</v>
      </c>
      <c r="B21" s="26" t="s">
        <v>14</v>
      </c>
      <c r="C21" s="36">
        <f>1800+1800</f>
        <v>3600</v>
      </c>
      <c r="D21" s="36">
        <v>0</v>
      </c>
      <c r="E21" s="36">
        <v>2550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66">
        <f t="shared" si="1"/>
        <v>6150</v>
      </c>
      <c r="P21" s="286">
        <f t="shared" si="0"/>
        <v>0.13160428837388458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1800+750</f>
        <v>2550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66">
        <f t="shared" si="1"/>
        <v>2550</v>
      </c>
      <c r="P22" s="286">
        <f t="shared" si="0"/>
        <v>5.456763176478141E-2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C21+C17+C16+C11+C8+C5</f>
        <v>12183</v>
      </c>
      <c r="D23" s="42">
        <f>D22+D21+D20+D19+D18+D17+D16+D15+D14+D13+D12+D11+D10+D9+D8+D7+D6+D5</f>
        <v>18978</v>
      </c>
      <c r="E23" s="42">
        <f>E19+E15+E12+E11+E10+E8+E7+E6</f>
        <v>13328</v>
      </c>
      <c r="F23" s="42">
        <f>F16+F14+F13+F6</f>
        <v>2242</v>
      </c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46731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190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67">
        <f t="shared" si="2"/>
        <v>190</v>
      </c>
      <c r="P24" s="286">
        <f t="shared" si="0"/>
        <v>4.0658235432582228E-3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v>0</v>
      </c>
      <c r="E26" s="41">
        <v>0</v>
      </c>
      <c r="F26" s="41">
        <v>0</v>
      </c>
      <c r="G26" s="41"/>
      <c r="H26" s="41"/>
      <c r="I26" s="41"/>
      <c r="J26" s="41"/>
      <c r="K26" s="41"/>
      <c r="L26" s="41"/>
      <c r="M26" s="41"/>
      <c r="N26" s="41"/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12183</v>
      </c>
      <c r="D27" s="278">
        <f>D23+D24</f>
        <v>18978</v>
      </c>
      <c r="E27" s="278">
        <f>E23+E24</f>
        <v>13518</v>
      </c>
      <c r="F27" s="278">
        <f>F23</f>
        <v>2242</v>
      </c>
      <c r="G27" s="278"/>
      <c r="H27" s="278"/>
      <c r="I27" s="278"/>
      <c r="J27" s="278"/>
      <c r="K27" s="278"/>
      <c r="L27" s="278"/>
      <c r="M27" s="278"/>
      <c r="N27" s="278"/>
      <c r="O27" s="279">
        <f t="shared" si="2"/>
        <v>46921</v>
      </c>
      <c r="P27" s="289">
        <f t="shared" si="0"/>
        <v>1.0040658235432582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F28" sqref="F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26/1/64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1380.3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1380.3</v>
      </c>
      <c r="P6" s="286">
        <f t="shared" si="0"/>
        <v>0.21158400588627532</v>
      </c>
    </row>
    <row r="7" spans="1:17" ht="17.25" customHeight="1" x14ac:dyDescent="0.2">
      <c r="A7" s="25">
        <v>3</v>
      </c>
      <c r="B7" s="26" t="s">
        <v>20</v>
      </c>
      <c r="C7" s="36">
        <f>1250+776</f>
        <v>2026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66">
        <f t="shared" si="1"/>
        <v>2026</v>
      </c>
      <c r="P7" s="286">
        <f t="shared" si="0"/>
        <v>0.31056233856813287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66">
        <f t="shared" si="1"/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227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66">
        <f t="shared" si="1"/>
        <v>227</v>
      </c>
      <c r="P11" s="286">
        <f t="shared" si="0"/>
        <v>3.4796471300575602E-2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227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66">
        <f t="shared" si="1"/>
        <v>227</v>
      </c>
      <c r="P12" s="286">
        <f t="shared" si="0"/>
        <v>3.4796471300575602E-2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2663.35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2663.35</v>
      </c>
      <c r="P22" s="286">
        <f t="shared" si="0"/>
        <v>0.40826071294444061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C22+C7+C6</f>
        <v>6069.6500000000005</v>
      </c>
      <c r="D23" s="42">
        <v>0</v>
      </c>
      <c r="E23" s="42">
        <f>E12+E11</f>
        <v>454</v>
      </c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2">
        <f>SUM(O5:O22)</f>
        <v>6523.65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0</f>
        <v>0</v>
      </c>
      <c r="D26" s="41">
        <v>0</v>
      </c>
      <c r="E26" s="41">
        <f>0</f>
        <v>0</v>
      </c>
      <c r="F26" s="41">
        <v>0</v>
      </c>
      <c r="G26" s="41"/>
      <c r="H26" s="41"/>
      <c r="I26" s="41"/>
      <c r="J26" s="41"/>
      <c r="K26" s="41"/>
      <c r="L26" s="41"/>
      <c r="M26" s="41"/>
      <c r="N26" s="41"/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6069.6500000000005</v>
      </c>
      <c r="D27" s="278">
        <v>0</v>
      </c>
      <c r="E27" s="278">
        <f>E23</f>
        <v>454</v>
      </c>
      <c r="F27" s="278">
        <v>0</v>
      </c>
      <c r="G27" s="278"/>
      <c r="H27" s="278"/>
      <c r="I27" s="278"/>
      <c r="J27" s="278"/>
      <c r="K27" s="278"/>
      <c r="L27" s="278"/>
      <c r="M27" s="278"/>
      <c r="N27" s="278"/>
      <c r="O27" s="278">
        <f>SUM(C27:N27)</f>
        <v>6523.6500000000005</v>
      </c>
      <c r="P27" s="289">
        <f t="shared" si="0"/>
        <v>1.0000000000000002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F28" sqref="F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26/1/64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72.5+72.5</f>
        <v>145</v>
      </c>
      <c r="D5" s="36">
        <v>0</v>
      </c>
      <c r="E5" s="36">
        <v>145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66">
        <f>C5</f>
        <v>145</v>
      </c>
      <c r="P5" s="286">
        <f t="shared" ref="P5:P27" si="0">O5/$O$23</f>
        <v>0.5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67"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145</v>
      </c>
      <c r="D11" s="36">
        <v>145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66">
        <f>C11</f>
        <v>145</v>
      </c>
      <c r="P11" s="286">
        <f t="shared" si="0"/>
        <v>0.5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67"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C5+C11</f>
        <v>290</v>
      </c>
      <c r="D23" s="42">
        <v>145</v>
      </c>
      <c r="E23" s="42">
        <f>E5</f>
        <v>145</v>
      </c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53">
        <f>C23</f>
        <v>290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72.5</v>
      </c>
      <c r="D24" s="36">
        <v>0</v>
      </c>
      <c r="E24" s="36">
        <v>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66">
        <f>C24</f>
        <v>72.5</v>
      </c>
      <c r="P24" s="286">
        <f t="shared" si="0"/>
        <v>0.25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72.5</v>
      </c>
      <c r="D26" s="41">
        <v>0</v>
      </c>
      <c r="E26" s="41">
        <f>E23</f>
        <v>145</v>
      </c>
      <c r="F26" s="41">
        <v>0</v>
      </c>
      <c r="G26" s="41"/>
      <c r="H26" s="41"/>
      <c r="I26" s="41"/>
      <c r="J26" s="41"/>
      <c r="K26" s="41"/>
      <c r="L26" s="41"/>
      <c r="M26" s="41"/>
      <c r="N26" s="41"/>
      <c r="O26" s="271">
        <f>O24</f>
        <v>72.5</v>
      </c>
      <c r="P26" s="288">
        <f t="shared" si="0"/>
        <v>0.25</v>
      </c>
    </row>
    <row r="27" spans="1:16" s="55" customFormat="1" ht="17.25" customHeight="1" x14ac:dyDescent="0.2">
      <c r="A27" s="202" t="s">
        <v>26</v>
      </c>
      <c r="B27" s="207" t="s">
        <v>25</v>
      </c>
      <c r="C27" s="361">
        <f>C23+C24</f>
        <v>362.5</v>
      </c>
      <c r="D27" s="278">
        <v>145</v>
      </c>
      <c r="E27" s="278">
        <f>E23</f>
        <v>145</v>
      </c>
      <c r="F27" s="278">
        <v>0</v>
      </c>
      <c r="G27" s="278"/>
      <c r="H27" s="278"/>
      <c r="I27" s="278"/>
      <c r="J27" s="278"/>
      <c r="K27" s="278"/>
      <c r="L27" s="278"/>
      <c r="M27" s="278"/>
      <c r="N27" s="278"/>
      <c r="O27" s="278">
        <f>O23+O24</f>
        <v>362.5</v>
      </c>
      <c r="P27" s="289">
        <f t="shared" si="0"/>
        <v>1.25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8" zoomScale="154" zoomScaleNormal="154" workbookViewId="0">
      <selection activeCell="F25" sqref="F25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2563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26/1/64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31664.72+1904.34</f>
        <v>33569.06</v>
      </c>
      <c r="D5" s="36">
        <f>2075+13111.76+6963.32</f>
        <v>22150.080000000002</v>
      </c>
      <c r="E5" s="36">
        <v>26802.3</v>
      </c>
      <c r="F5" s="36">
        <f>29272.69+64.2+5486</f>
        <v>34822.89</v>
      </c>
      <c r="G5" s="36"/>
      <c r="H5" s="36"/>
      <c r="I5" s="36"/>
      <c r="J5" s="36"/>
      <c r="K5" s="36"/>
      <c r="L5" s="36"/>
      <c r="M5" s="36"/>
      <c r="N5" s="36"/>
      <c r="O5" s="266">
        <f>SUM(C5:N5)</f>
        <v>117344.33</v>
      </c>
      <c r="P5" s="286">
        <f t="shared" ref="P5:P27" si="0">O5/$O$23</f>
        <v>0.18261235084977748</v>
      </c>
    </row>
    <row r="6" spans="1:17" s="27" customFormat="1" ht="18" customHeight="1" x14ac:dyDescent="0.2">
      <c r="A6" s="25">
        <v>2</v>
      </c>
      <c r="B6" s="28" t="s">
        <v>19</v>
      </c>
      <c r="C6" s="35">
        <v>10387.1</v>
      </c>
      <c r="D6" s="36">
        <f>10557.65</f>
        <v>10557.65</v>
      </c>
      <c r="E6" s="36">
        <v>13795.7</v>
      </c>
      <c r="F6" s="36">
        <f>15402.44+80+40+720+1634</f>
        <v>17876.440000000002</v>
      </c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52616.89</v>
      </c>
      <c r="P6" s="286">
        <f t="shared" si="0"/>
        <v>8.18828994745988E-2</v>
      </c>
    </row>
    <row r="7" spans="1:17" s="27" customFormat="1" ht="18" customHeight="1" x14ac:dyDescent="0.2">
      <c r="A7" s="25">
        <v>3</v>
      </c>
      <c r="B7" s="28" t="s">
        <v>20</v>
      </c>
      <c r="C7" s="35">
        <f>6037+3368.44</f>
        <v>9405.44</v>
      </c>
      <c r="D7" s="36">
        <v>5576.27</v>
      </c>
      <c r="E7" s="36">
        <v>1400</v>
      </c>
      <c r="F7" s="36">
        <v>9202</v>
      </c>
      <c r="G7" s="36"/>
      <c r="H7" s="36"/>
      <c r="I7" s="36"/>
      <c r="J7" s="36"/>
      <c r="K7" s="36"/>
      <c r="L7" s="36"/>
      <c r="M7" s="36"/>
      <c r="N7" s="36"/>
      <c r="O7" s="266">
        <f t="shared" si="1"/>
        <v>25583.71</v>
      </c>
      <c r="P7" s="286">
        <f t="shared" si="0"/>
        <v>3.9813610308729534E-2</v>
      </c>
    </row>
    <row r="8" spans="1:17" s="27" customFormat="1" ht="18" customHeight="1" x14ac:dyDescent="0.2">
      <c r="A8" s="25">
        <v>4</v>
      </c>
      <c r="B8" s="28" t="s">
        <v>21</v>
      </c>
      <c r="C8" s="35">
        <v>0</v>
      </c>
      <c r="D8" s="36">
        <f>23815.47+192.6</f>
        <v>24008.07</v>
      </c>
      <c r="E8" s="36">
        <f>18734.8</f>
        <v>18734.8</v>
      </c>
      <c r="F8" s="36">
        <v>6444</v>
      </c>
      <c r="G8" s="36"/>
      <c r="H8" s="36"/>
      <c r="I8" s="36"/>
      <c r="J8" s="36"/>
      <c r="K8" s="36"/>
      <c r="L8" s="36"/>
      <c r="M8" s="36"/>
      <c r="N8" s="36"/>
      <c r="O8" s="266">
        <f t="shared" si="1"/>
        <v>49186.869999999995</v>
      </c>
      <c r="P8" s="286">
        <f t="shared" si="0"/>
        <v>7.6545070065527604E-2</v>
      </c>
    </row>
    <row r="9" spans="1:17" s="27" customFormat="1" ht="18" customHeight="1" x14ac:dyDescent="0.2">
      <c r="A9" s="25">
        <v>5</v>
      </c>
      <c r="B9" s="28" t="s">
        <v>2</v>
      </c>
      <c r="C9" s="35">
        <v>3089.12</v>
      </c>
      <c r="D9" s="36">
        <f>4709+6019.66</f>
        <v>10728.66</v>
      </c>
      <c r="E9" s="36">
        <v>1627.68</v>
      </c>
      <c r="F9" s="36">
        <f>3971.44+3882.06</f>
        <v>7853.5</v>
      </c>
      <c r="G9" s="36"/>
      <c r="H9" s="36"/>
      <c r="I9" s="36"/>
      <c r="J9" s="36"/>
      <c r="K9" s="36"/>
      <c r="L9" s="36"/>
      <c r="M9" s="36"/>
      <c r="N9" s="36"/>
      <c r="O9" s="266">
        <f t="shared" si="1"/>
        <v>23298.959999999999</v>
      </c>
      <c r="P9" s="286">
        <f t="shared" si="0"/>
        <v>3.6258060853514879E-2</v>
      </c>
    </row>
    <row r="10" spans="1:17" s="27" customFormat="1" ht="18" customHeight="1" x14ac:dyDescent="0.2">
      <c r="A10" s="25">
        <v>6</v>
      </c>
      <c r="B10" s="28" t="s">
        <v>3</v>
      </c>
      <c r="C10" s="35">
        <v>7896.29</v>
      </c>
      <c r="D10" s="36">
        <f>15536.9</f>
        <v>15536.9</v>
      </c>
      <c r="E10" s="36">
        <f>2084+500</f>
        <v>2584</v>
      </c>
      <c r="F10" s="36">
        <f>3981.67</f>
        <v>3981.67</v>
      </c>
      <c r="G10" s="36"/>
      <c r="H10" s="36"/>
      <c r="I10" s="36"/>
      <c r="J10" s="36"/>
      <c r="K10" s="36"/>
      <c r="L10" s="36"/>
      <c r="M10" s="36"/>
      <c r="N10" s="36"/>
      <c r="O10" s="266">
        <f t="shared" si="1"/>
        <v>29998.86</v>
      </c>
      <c r="P10" s="286">
        <f t="shared" si="0"/>
        <v>4.6684508296339119E-2</v>
      </c>
    </row>
    <row r="11" spans="1:17" s="27" customFormat="1" ht="18" customHeight="1" x14ac:dyDescent="0.2">
      <c r="A11" s="25">
        <v>7</v>
      </c>
      <c r="B11" s="28" t="s">
        <v>4</v>
      </c>
      <c r="C11" s="35">
        <v>3899</v>
      </c>
      <c r="D11" s="36">
        <f>12505.26</f>
        <v>12505.26</v>
      </c>
      <c r="E11" s="36">
        <f>5781.63+810+6655</f>
        <v>13246.630000000001</v>
      </c>
      <c r="F11" s="36">
        <f>2519.88</f>
        <v>2519.88</v>
      </c>
      <c r="G11" s="36"/>
      <c r="H11" s="36"/>
      <c r="I11" s="36"/>
      <c r="J11" s="36"/>
      <c r="K11" s="36"/>
      <c r="L11" s="36"/>
      <c r="M11" s="36"/>
      <c r="N11" s="36"/>
      <c r="O11" s="266">
        <f t="shared" si="1"/>
        <v>32170.770000000004</v>
      </c>
      <c r="P11" s="286">
        <f t="shared" si="0"/>
        <v>5.0064455081447023E-2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3018</v>
      </c>
      <c r="D12" s="36">
        <f>9155.85+8369.88+1240</f>
        <v>18765.73</v>
      </c>
      <c r="E12" s="36">
        <f>3359+111.28+6573.59+2800</f>
        <v>12843.87</v>
      </c>
      <c r="F12" s="36">
        <f>5769+2004.22+2130+800</f>
        <v>10703.220000000001</v>
      </c>
      <c r="G12" s="36"/>
      <c r="H12" s="36"/>
      <c r="I12" s="36"/>
      <c r="J12" s="36"/>
      <c r="K12" s="36"/>
      <c r="L12" s="36"/>
      <c r="M12" s="36"/>
      <c r="N12" s="36"/>
      <c r="O12" s="266">
        <f t="shared" si="1"/>
        <v>45330.82</v>
      </c>
      <c r="P12" s="286">
        <f t="shared" si="0"/>
        <v>7.0544248760448069E-2</v>
      </c>
    </row>
    <row r="13" spans="1:17" s="27" customFormat="1" ht="18" customHeight="1" x14ac:dyDescent="0.2">
      <c r="A13" s="25">
        <v>9</v>
      </c>
      <c r="B13" s="28" t="s">
        <v>6</v>
      </c>
      <c r="C13" s="35">
        <v>496</v>
      </c>
      <c r="D13" s="36">
        <f>9599.44+7626.99</f>
        <v>17226.43</v>
      </c>
      <c r="E13" s="36">
        <f>4490.66+500</f>
        <v>4990.66</v>
      </c>
      <c r="F13" s="36">
        <f>750</f>
        <v>750</v>
      </c>
      <c r="G13" s="36"/>
      <c r="H13" s="36"/>
      <c r="I13" s="36"/>
      <c r="J13" s="36"/>
      <c r="K13" s="36"/>
      <c r="L13" s="36"/>
      <c r="M13" s="36"/>
      <c r="N13" s="36"/>
      <c r="O13" s="266">
        <f t="shared" si="1"/>
        <v>23463.09</v>
      </c>
      <c r="P13" s="286">
        <f t="shared" si="0"/>
        <v>3.6513481504388885E-2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0</v>
      </c>
      <c r="D14" s="36">
        <f>12492.97+6060.6</f>
        <v>18553.57</v>
      </c>
      <c r="E14" s="36">
        <f>2686.43+150</f>
        <v>2836.43</v>
      </c>
      <c r="F14" s="36">
        <f>2702.52+53.5+1154.23</f>
        <v>3910.25</v>
      </c>
      <c r="G14" s="36"/>
      <c r="H14" s="36"/>
      <c r="I14" s="36"/>
      <c r="J14" s="36"/>
      <c r="K14" s="36"/>
      <c r="L14" s="36"/>
      <c r="M14" s="36"/>
      <c r="N14" s="36"/>
      <c r="O14" s="266">
        <f t="shared" si="1"/>
        <v>25300.25</v>
      </c>
      <c r="P14" s="286">
        <f t="shared" si="0"/>
        <v>3.9372487188661633E-2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4062.94</v>
      </c>
      <c r="D15" s="36">
        <f>9449.98</f>
        <v>9449.98</v>
      </c>
      <c r="E15" s="36">
        <f>4629.65+480</f>
        <v>5109.6499999999996</v>
      </c>
      <c r="F15" s="36">
        <f>5725.36+680.56</f>
        <v>6405.92</v>
      </c>
      <c r="G15" s="36"/>
      <c r="H15" s="36"/>
      <c r="I15" s="36"/>
      <c r="J15" s="36"/>
      <c r="K15" s="36"/>
      <c r="L15" s="36"/>
      <c r="M15" s="36"/>
      <c r="N15" s="36"/>
      <c r="O15" s="266">
        <f t="shared" si="1"/>
        <v>25028.489999999998</v>
      </c>
      <c r="P15" s="286">
        <f t="shared" si="0"/>
        <v>3.8949571718719996E-2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5822+668.04</f>
        <v>6490.04</v>
      </c>
      <c r="D16" s="36">
        <v>5466.89</v>
      </c>
      <c r="E16" s="36">
        <v>3099</v>
      </c>
      <c r="F16" s="36">
        <f>3208+275+450</f>
        <v>3933</v>
      </c>
      <c r="G16" s="36"/>
      <c r="H16" s="36"/>
      <c r="I16" s="36"/>
      <c r="J16" s="36"/>
      <c r="K16" s="36"/>
      <c r="L16" s="36"/>
      <c r="M16" s="36"/>
      <c r="N16" s="36"/>
      <c r="O16" s="266">
        <f t="shared" si="1"/>
        <v>18988.93</v>
      </c>
      <c r="P16" s="286">
        <f t="shared" si="0"/>
        <v>2.9550751599347537E-2</v>
      </c>
    </row>
    <row r="17" spans="1:16" s="27" customFormat="1" ht="18" customHeight="1" x14ac:dyDescent="0.2">
      <c r="A17" s="25">
        <v>13</v>
      </c>
      <c r="B17" s="28" t="s">
        <v>81</v>
      </c>
      <c r="C17" s="35">
        <f>6198.24+2152</f>
        <v>8350.24</v>
      </c>
      <c r="D17" s="36">
        <f>6015.95+2594.9</f>
        <v>8610.85</v>
      </c>
      <c r="E17" s="36">
        <f>8127.02+200</f>
        <v>8327.02</v>
      </c>
      <c r="F17" s="36">
        <f>6996.11+700+248+205.44</f>
        <v>8149.5499999999993</v>
      </c>
      <c r="G17" s="36"/>
      <c r="H17" s="36"/>
      <c r="I17" s="36"/>
      <c r="J17" s="36"/>
      <c r="K17" s="36"/>
      <c r="L17" s="36"/>
      <c r="M17" s="36"/>
      <c r="N17" s="36"/>
      <c r="O17" s="266">
        <f t="shared" si="1"/>
        <v>33437.660000000003</v>
      </c>
      <c r="P17" s="286">
        <f t="shared" si="0"/>
        <v>5.2036001224052081E-2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7431.66</f>
        <v>7431.66</v>
      </c>
      <c r="D18" s="36">
        <v>4553.1899999999996</v>
      </c>
      <c r="E18" s="36">
        <f>508.66+532.6+642+1040</f>
        <v>2723.26</v>
      </c>
      <c r="F18" s="36">
        <f>2773.05+55.6</f>
        <v>2828.65</v>
      </c>
      <c r="G18" s="36"/>
      <c r="H18" s="36"/>
      <c r="I18" s="36"/>
      <c r="J18" s="36"/>
      <c r="K18" s="36"/>
      <c r="L18" s="36"/>
      <c r="M18" s="36"/>
      <c r="N18" s="36"/>
      <c r="O18" s="266">
        <f t="shared" si="1"/>
        <v>17536.759999999998</v>
      </c>
      <c r="P18" s="286">
        <f t="shared" si="0"/>
        <v>2.729087097679405E-2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9580</v>
      </c>
      <c r="D19" s="36">
        <f>18386.25</f>
        <v>18386.25</v>
      </c>
      <c r="E19" s="36">
        <f>3088.04+17</f>
        <v>3105.04</v>
      </c>
      <c r="F19" s="36">
        <f>7482+51</f>
        <v>7533</v>
      </c>
      <c r="G19" s="36"/>
      <c r="H19" s="36"/>
      <c r="I19" s="36"/>
      <c r="J19" s="36"/>
      <c r="K19" s="36"/>
      <c r="L19" s="36"/>
      <c r="M19" s="36"/>
      <c r="N19" s="36"/>
      <c r="O19" s="266">
        <f t="shared" si="1"/>
        <v>38604.29</v>
      </c>
      <c r="P19" s="286">
        <f t="shared" si="0"/>
        <v>6.0076359460968898E-2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f>15012.57</f>
        <v>15012.57</v>
      </c>
      <c r="E20" s="36">
        <f>8470.05</f>
        <v>8470.0499999999993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66">
        <f t="shared" si="1"/>
        <v>23482.62</v>
      </c>
      <c r="P20" s="286">
        <f t="shared" si="0"/>
        <v>3.654387427421505E-2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8132+2027.66</f>
        <v>10159.66</v>
      </c>
      <c r="D21" s="36">
        <v>10370.379999999999</v>
      </c>
      <c r="E21" s="36">
        <v>8015.5</v>
      </c>
      <c r="F21" s="36">
        <f>6071.86</f>
        <v>6071.86</v>
      </c>
      <c r="G21" s="36"/>
      <c r="H21" s="36"/>
      <c r="I21" s="36"/>
      <c r="J21" s="36"/>
      <c r="K21" s="36"/>
      <c r="L21" s="36"/>
      <c r="M21" s="36"/>
      <c r="N21" s="36"/>
      <c r="O21" s="266">
        <f t="shared" si="1"/>
        <v>34617.4</v>
      </c>
      <c r="P21" s="286">
        <f t="shared" si="0"/>
        <v>5.3871923716357552E-2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4363</v>
      </c>
      <c r="D22" s="36">
        <f>3172+12215.09</f>
        <v>15387.09</v>
      </c>
      <c r="E22" s="36">
        <v>0</v>
      </c>
      <c r="F22" s="36">
        <v>6846.25</v>
      </c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26596.34</v>
      </c>
      <c r="P22" s="286">
        <f t="shared" si="0"/>
        <v>4.138947464611175E-2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122197.55</v>
      </c>
      <c r="D23" s="132">
        <f>D22+D21+D20+D19+D18+D17+D16+D15+D14+D13+D12+D11+D10+D9+D8+D7+D6+D5</f>
        <v>242845.82</v>
      </c>
      <c r="E23" s="132">
        <f>E22+E21+E20+E19+E18+E17+E16+E15+E14+E13+E12+E11+E10+E9+E8+E7+E6+E5</f>
        <v>137711.59</v>
      </c>
      <c r="F23" s="132">
        <f>F22+F21+F20+F19+F18+F17+F16+F15+F14+F13+F12+F11+F10+F9+F8+F7+F6+F5</f>
        <v>139832.08000000002</v>
      </c>
      <c r="G23" s="132"/>
      <c r="H23" s="132"/>
      <c r="I23" s="132"/>
      <c r="J23" s="132"/>
      <c r="K23" s="132"/>
      <c r="L23" s="132"/>
      <c r="M23" s="132"/>
      <c r="N23" s="360"/>
      <c r="O23" s="132">
        <f>SUM(O5:O22)</f>
        <v>642587.04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23408.81</v>
      </c>
      <c r="D24" s="36">
        <f>15855.72</f>
        <v>15855.72</v>
      </c>
      <c r="E24" s="36">
        <f>34383.65+2055+247+1300+8252+1739.68+34010.08+4000</f>
        <v>85987.41</v>
      </c>
      <c r="F24" s="36">
        <f>49079.78+725+638+4824.8+2282</f>
        <v>57549.58</v>
      </c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182801.52000000002</v>
      </c>
      <c r="P24" s="286">
        <f t="shared" si="0"/>
        <v>0.28447744604372976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>
        <f>C24</f>
        <v>23408.81</v>
      </c>
      <c r="D26" s="137">
        <f>D24</f>
        <v>15855.72</v>
      </c>
      <c r="E26" s="137">
        <f>E24</f>
        <v>85987.41</v>
      </c>
      <c r="F26" s="137">
        <f>F24</f>
        <v>57549.58</v>
      </c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182801.52000000002</v>
      </c>
      <c r="P26" s="288">
        <f t="shared" si="0"/>
        <v>0.28447744604372976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145606.36000000002</v>
      </c>
      <c r="D27" s="158">
        <f>D24+D23</f>
        <v>258701.54</v>
      </c>
      <c r="E27" s="158">
        <f>E24+E23</f>
        <v>223699</v>
      </c>
      <c r="F27" s="158">
        <f>F24+F23</f>
        <v>197381.66000000003</v>
      </c>
      <c r="G27" s="158"/>
      <c r="H27" s="158"/>
      <c r="I27" s="158"/>
      <c r="J27" s="158"/>
      <c r="K27" s="357"/>
      <c r="L27" s="158"/>
      <c r="M27" s="158"/>
      <c r="N27" s="158"/>
      <c r="O27" s="158">
        <f t="shared" si="2"/>
        <v>825388.56</v>
      </c>
      <c r="P27" s="330">
        <f t="shared" si="0"/>
        <v>1.2844774460437298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26/1/64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B9" zoomScale="154" zoomScaleNormal="154" workbookViewId="0">
      <selection activeCell="F28" sqref="F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83</v>
      </c>
      <c r="E1" s="88"/>
      <c r="F1" s="88"/>
      <c r="G1" s="88"/>
      <c r="H1" s="88"/>
      <c r="K1" s="87" t="str">
        <f>สรุปยอด!C3</f>
        <v xml:space="preserve"> ปีงบประมาณ   2563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26/1/64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33619+1476+10547.52</f>
        <v>45642.520000000004</v>
      </c>
      <c r="D5" s="92">
        <f>15930+31705</f>
        <v>47635</v>
      </c>
      <c r="E5" s="92">
        <f>56567+512</f>
        <v>57079</v>
      </c>
      <c r="F5" s="92">
        <f>49701</f>
        <v>49701</v>
      </c>
      <c r="G5" s="92"/>
      <c r="H5" s="92"/>
      <c r="I5" s="92"/>
      <c r="J5" s="92"/>
      <c r="K5" s="92"/>
      <c r="L5" s="92"/>
      <c r="M5" s="92"/>
      <c r="N5" s="92"/>
      <c r="O5" s="305">
        <f>SUM(C5:N5)</f>
        <v>200057.52000000002</v>
      </c>
      <c r="P5" s="340">
        <f>O5/$O$23</f>
        <v>0.22045499252393097</v>
      </c>
    </row>
    <row r="6" spans="1:17" s="20" customFormat="1" ht="19.5" customHeight="1" x14ac:dyDescent="0.2">
      <c r="A6" s="5">
        <v>2</v>
      </c>
      <c r="B6" s="34" t="s">
        <v>19</v>
      </c>
      <c r="C6" s="92">
        <v>36295.300000000003</v>
      </c>
      <c r="D6" s="92">
        <f>26524+640</f>
        <v>27164</v>
      </c>
      <c r="E6" s="92">
        <f>35801.3+900+1075</f>
        <v>37776.300000000003</v>
      </c>
      <c r="F6" s="92">
        <v>16240</v>
      </c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117475.6</v>
      </c>
      <c r="P6" s="340">
        <f t="shared" ref="P6:P27" si="1">O6/$O$23</f>
        <v>0.12945318186361754</v>
      </c>
    </row>
    <row r="7" spans="1:17" s="20" customFormat="1" ht="19.5" customHeight="1" x14ac:dyDescent="0.2">
      <c r="A7" s="5">
        <v>3</v>
      </c>
      <c r="B7" s="34" t="s">
        <v>20</v>
      </c>
      <c r="C7" s="92">
        <f>10889+7206</f>
        <v>18095</v>
      </c>
      <c r="D7" s="92">
        <f>12263.5+2250</f>
        <v>14513.5</v>
      </c>
      <c r="E7" s="92">
        <v>10602.65</v>
      </c>
      <c r="F7" s="92">
        <v>8187.5</v>
      </c>
      <c r="G7" s="92"/>
      <c r="H7" s="92"/>
      <c r="I7" s="92"/>
      <c r="J7" s="92"/>
      <c r="K7" s="92"/>
      <c r="L7" s="92"/>
      <c r="M7" s="92"/>
      <c r="N7" s="92"/>
      <c r="O7" s="305">
        <f t="shared" si="0"/>
        <v>51398.65</v>
      </c>
      <c r="P7" s="340">
        <f t="shared" si="1"/>
        <v>5.6639155586304099E-2</v>
      </c>
    </row>
    <row r="8" spans="1:17" s="20" customFormat="1" ht="19.5" customHeight="1" x14ac:dyDescent="0.2">
      <c r="A8" s="5">
        <v>4</v>
      </c>
      <c r="B8" s="34" t="s">
        <v>21</v>
      </c>
      <c r="C8" s="92">
        <v>2700</v>
      </c>
      <c r="D8" s="92">
        <v>32348.880000000001</v>
      </c>
      <c r="E8" s="92">
        <v>45831</v>
      </c>
      <c r="F8" s="92">
        <v>0</v>
      </c>
      <c r="G8" s="92"/>
      <c r="H8" s="92"/>
      <c r="I8" s="92"/>
      <c r="J8" s="92"/>
      <c r="K8" s="92"/>
      <c r="L8" s="92"/>
      <c r="M8" s="92"/>
      <c r="N8" s="92"/>
      <c r="O8" s="305">
        <f t="shared" si="0"/>
        <v>80879.88</v>
      </c>
      <c r="P8" s="340">
        <f t="shared" si="1"/>
        <v>8.9126233998784124E-2</v>
      </c>
    </row>
    <row r="9" spans="1:17" s="20" customFormat="1" ht="19.5" customHeight="1" x14ac:dyDescent="0.2">
      <c r="A9" s="5">
        <v>5</v>
      </c>
      <c r="B9" s="34" t="s">
        <v>2</v>
      </c>
      <c r="C9" s="92">
        <f>880+5232</f>
        <v>6112</v>
      </c>
      <c r="D9" s="92">
        <f>5100+10423.15</f>
        <v>15523.15</v>
      </c>
      <c r="E9" s="92">
        <f>21958+360</f>
        <v>22318</v>
      </c>
      <c r="F9" s="92">
        <f>7350+4500</f>
        <v>11850</v>
      </c>
      <c r="G9" s="92"/>
      <c r="H9" s="92"/>
      <c r="I9" s="92"/>
      <c r="J9" s="92"/>
      <c r="K9" s="92"/>
      <c r="L9" s="92"/>
      <c r="M9" s="92"/>
      <c r="N9" s="92"/>
      <c r="O9" s="305">
        <f t="shared" si="0"/>
        <v>55803.15</v>
      </c>
      <c r="P9" s="340">
        <f t="shared" si="1"/>
        <v>6.1492729771226787E-2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3890</v>
      </c>
      <c r="D10" s="92">
        <v>10375.15</v>
      </c>
      <c r="E10" s="92">
        <v>6937</v>
      </c>
      <c r="F10" s="92">
        <f>4954+450</f>
        <v>5404</v>
      </c>
      <c r="G10" s="92"/>
      <c r="H10" s="92"/>
      <c r="I10" s="92"/>
      <c r="J10" s="92"/>
      <c r="K10" s="92"/>
      <c r="L10" s="92"/>
      <c r="M10" s="92"/>
      <c r="N10" s="92"/>
      <c r="O10" s="305">
        <f t="shared" si="0"/>
        <v>26606.15</v>
      </c>
      <c r="P10" s="340">
        <f t="shared" si="1"/>
        <v>2.9318860892310301E-2</v>
      </c>
    </row>
    <row r="11" spans="1:17" s="20" customFormat="1" ht="19.5" customHeight="1" x14ac:dyDescent="0.2">
      <c r="A11" s="5">
        <v>7</v>
      </c>
      <c r="B11" s="34" t="s">
        <v>4</v>
      </c>
      <c r="C11" s="92">
        <v>0</v>
      </c>
      <c r="D11" s="92">
        <v>3235</v>
      </c>
      <c r="E11" s="92">
        <v>0</v>
      </c>
      <c r="F11" s="92">
        <v>6735</v>
      </c>
      <c r="G11" s="92"/>
      <c r="H11" s="92"/>
      <c r="I11" s="92"/>
      <c r="J11" s="92"/>
      <c r="K11" s="92"/>
      <c r="L11" s="92"/>
      <c r="M11" s="92"/>
      <c r="N11" s="92"/>
      <c r="O11" s="305">
        <f t="shared" si="0"/>
        <v>9970</v>
      </c>
      <c r="P11" s="340">
        <f t="shared" si="1"/>
        <v>1.0986521653690356E-2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29975</v>
      </c>
      <c r="D12" s="92">
        <f>9994.35+5988.65</f>
        <v>15983</v>
      </c>
      <c r="E12" s="92">
        <f>2193.5+16841.6</f>
        <v>19035.099999999999</v>
      </c>
      <c r="F12" s="92">
        <f>6392+8673</f>
        <v>15065</v>
      </c>
      <c r="G12" s="92"/>
      <c r="H12" s="92"/>
      <c r="I12" s="92"/>
      <c r="J12" s="92"/>
      <c r="K12" s="92"/>
      <c r="L12" s="92"/>
      <c r="M12" s="92"/>
      <c r="N12" s="92"/>
      <c r="O12" s="305">
        <f t="shared" si="0"/>
        <v>80058.100000000006</v>
      </c>
      <c r="P12" s="340">
        <f t="shared" si="1"/>
        <v>8.8220666921094079E-2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0</v>
      </c>
      <c r="D13" s="92">
        <f>1391+8226</f>
        <v>9617</v>
      </c>
      <c r="E13" s="92">
        <v>3627</v>
      </c>
      <c r="F13" s="92">
        <f>2100</f>
        <v>2100</v>
      </c>
      <c r="G13" s="92"/>
      <c r="H13" s="92"/>
      <c r="I13" s="92"/>
      <c r="J13" s="92"/>
      <c r="K13" s="92"/>
      <c r="L13" s="92"/>
      <c r="M13" s="92"/>
      <c r="N13" s="92"/>
      <c r="O13" s="305">
        <f t="shared" si="0"/>
        <v>15344</v>
      </c>
      <c r="P13" s="340">
        <f t="shared" si="1"/>
        <v>1.6908444157896173E-2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0</v>
      </c>
      <c r="D14" s="92">
        <v>9304.92</v>
      </c>
      <c r="E14" s="92">
        <v>10901</v>
      </c>
      <c r="F14" s="92">
        <f>3500</f>
        <v>3500</v>
      </c>
      <c r="G14" s="92"/>
      <c r="H14" s="92"/>
      <c r="I14" s="92"/>
      <c r="J14" s="92"/>
      <c r="K14" s="92"/>
      <c r="L14" s="92"/>
      <c r="M14" s="92"/>
      <c r="N14" s="92"/>
      <c r="O14" s="305">
        <f t="shared" si="0"/>
        <v>23705.919999999998</v>
      </c>
      <c r="P14" s="340">
        <f t="shared" si="1"/>
        <v>2.6122929127447472E-2</v>
      </c>
    </row>
    <row r="15" spans="1:17" s="20" customFormat="1" ht="19.5" customHeight="1" x14ac:dyDescent="0.2">
      <c r="A15" s="5">
        <v>11</v>
      </c>
      <c r="B15" s="34" t="s">
        <v>8</v>
      </c>
      <c r="C15" s="92">
        <v>13945.15</v>
      </c>
      <c r="D15" s="92">
        <v>0</v>
      </c>
      <c r="E15" s="92">
        <f>12923+17672.5</f>
        <v>30595.5</v>
      </c>
      <c r="F15" s="92">
        <v>3420</v>
      </c>
      <c r="G15" s="92"/>
      <c r="H15" s="92"/>
      <c r="I15" s="92"/>
      <c r="J15" s="92"/>
      <c r="K15" s="92"/>
      <c r="L15" s="92"/>
      <c r="M15" s="92"/>
      <c r="N15" s="92"/>
      <c r="O15" s="305">
        <f t="shared" si="0"/>
        <v>47960.65</v>
      </c>
      <c r="P15" s="340">
        <f t="shared" si="1"/>
        <v>5.2850623846546083E-2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4804.5</v>
      </c>
      <c r="D16" s="92">
        <v>3884</v>
      </c>
      <c r="E16" s="92">
        <v>4812</v>
      </c>
      <c r="F16" s="92">
        <f>1924+2782+900</f>
        <v>5606</v>
      </c>
      <c r="G16" s="92"/>
      <c r="H16" s="92"/>
      <c r="I16" s="92"/>
      <c r="J16" s="92"/>
      <c r="K16" s="92"/>
      <c r="L16" s="92"/>
      <c r="M16" s="92"/>
      <c r="N16" s="92"/>
      <c r="O16" s="305">
        <f t="shared" si="0"/>
        <v>19106.5</v>
      </c>
      <c r="P16" s="340">
        <f t="shared" si="1"/>
        <v>2.1054561281467883E-2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f>3485+2673</f>
        <v>6158</v>
      </c>
      <c r="D17" s="92">
        <v>5762.8</v>
      </c>
      <c r="E17" s="92">
        <v>0</v>
      </c>
      <c r="F17" s="92">
        <v>6181.5</v>
      </c>
      <c r="G17" s="92"/>
      <c r="H17" s="92"/>
      <c r="I17" s="92"/>
      <c r="J17" s="92"/>
      <c r="K17" s="92"/>
      <c r="L17" s="92"/>
      <c r="M17" s="92"/>
      <c r="N17" s="92"/>
      <c r="O17" s="305">
        <f t="shared" si="0"/>
        <v>18102.3</v>
      </c>
      <c r="P17" s="340">
        <f t="shared" si="1"/>
        <v>1.9947975018214537E-2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3955.5</v>
      </c>
      <c r="D18" s="92">
        <v>1490</v>
      </c>
      <c r="E18" s="92">
        <v>3181.4</v>
      </c>
      <c r="F18" s="92">
        <v>2100</v>
      </c>
      <c r="G18" s="92"/>
      <c r="H18" s="92"/>
      <c r="I18" s="92"/>
      <c r="J18" s="92"/>
      <c r="K18" s="92"/>
      <c r="L18" s="92"/>
      <c r="M18" s="92"/>
      <c r="N18" s="92"/>
      <c r="O18" s="305">
        <f t="shared" si="0"/>
        <v>10726.9</v>
      </c>
      <c r="P18" s="340">
        <f t="shared" si="1"/>
        <v>1.1820593693778443E-2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44163.519999999997</v>
      </c>
      <c r="D19" s="92">
        <v>7422.46</v>
      </c>
      <c r="E19" s="92">
        <v>11708.6</v>
      </c>
      <c r="F19" s="92">
        <v>8035</v>
      </c>
      <c r="G19" s="92"/>
      <c r="H19" s="92"/>
      <c r="I19" s="92"/>
      <c r="J19" s="92"/>
      <c r="K19" s="92"/>
      <c r="L19" s="92"/>
      <c r="M19" s="92"/>
      <c r="N19" s="92"/>
      <c r="O19" s="305">
        <f t="shared" si="0"/>
        <v>71329.579999999987</v>
      </c>
      <c r="P19" s="340">
        <f t="shared" si="1"/>
        <v>7.8602204134266648E-2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9430.92+90+1350+2100+3750</f>
        <v>16720.919999999998</v>
      </c>
      <c r="E20" s="92">
        <v>2250</v>
      </c>
      <c r="F20" s="92">
        <v>5297.5</v>
      </c>
      <c r="G20" s="92"/>
      <c r="H20" s="92"/>
      <c r="I20" s="92"/>
      <c r="J20" s="92"/>
      <c r="K20" s="92"/>
      <c r="L20" s="92"/>
      <c r="M20" s="92"/>
      <c r="N20" s="92"/>
      <c r="O20" s="305">
        <f t="shared" si="0"/>
        <v>24268.42</v>
      </c>
      <c r="P20" s="340">
        <f t="shared" si="1"/>
        <v>2.6742780524659188E-2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3439.92+10450</f>
        <v>13889.92</v>
      </c>
      <c r="D21" s="92">
        <v>8393</v>
      </c>
      <c r="E21" s="92">
        <v>6574</v>
      </c>
      <c r="F21" s="92">
        <v>11377</v>
      </c>
      <c r="G21" s="92"/>
      <c r="H21" s="92"/>
      <c r="I21" s="92"/>
      <c r="J21" s="92"/>
      <c r="K21" s="92"/>
      <c r="L21" s="92"/>
      <c r="M21" s="92"/>
      <c r="N21" s="92"/>
      <c r="O21" s="305">
        <f t="shared" si="0"/>
        <v>40233.919999999998</v>
      </c>
      <c r="P21" s="340">
        <f t="shared" si="1"/>
        <v>4.4336091604096843E-2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3219.1</v>
      </c>
      <c r="D22" s="92">
        <f>6854.23+4375</f>
        <v>11229.23</v>
      </c>
      <c r="E22" s="92">
        <v>0</v>
      </c>
      <c r="F22" s="92">
        <v>0</v>
      </c>
      <c r="G22" s="92"/>
      <c r="H22" s="92"/>
      <c r="I22" s="92"/>
      <c r="J22" s="92"/>
      <c r="K22" s="92"/>
      <c r="L22" s="92"/>
      <c r="M22" s="92"/>
      <c r="N22" s="92"/>
      <c r="O22" s="305">
        <f t="shared" si="0"/>
        <v>14448.33</v>
      </c>
      <c r="P22" s="340">
        <f t="shared" si="1"/>
        <v>1.5921453400668403E-2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C22+C21+C20+C19+C18+C17+C16+C15+C14+C13+C12+C11+C10+C9+C8+C7+C6+C5</f>
        <v>232845.51</v>
      </c>
      <c r="D23" s="96">
        <f>D21+D22+D20+D19+D18+D17+D16+D15+D14+D13+D12+D11+D10+D9+D8+D7+D6+D5</f>
        <v>240602.00999999998</v>
      </c>
      <c r="E23" s="96">
        <f>E21+E20+E19+E18+E17+E16+E15+E14+E13+E12+E11+E10+E9+E8+E7+E6+E5</f>
        <v>273228.55</v>
      </c>
      <c r="F23" s="356">
        <f>F21+F20+F19+F18+F17+F16+F15+F14+F13+F12+F11+F10+F9+F8+F7+F6+F5</f>
        <v>160799.5</v>
      </c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907475.57000000007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v>8893.1</v>
      </c>
      <c r="D24" s="93">
        <v>12857.84</v>
      </c>
      <c r="E24" s="93">
        <v>36586</v>
      </c>
      <c r="F24" s="93">
        <f>1020+4173+4500+5400</f>
        <v>15093</v>
      </c>
      <c r="G24" s="93"/>
      <c r="H24" s="93"/>
      <c r="I24" s="93"/>
      <c r="J24" s="93"/>
      <c r="K24" s="93"/>
      <c r="L24" s="93"/>
      <c r="M24" s="93"/>
      <c r="N24" s="93"/>
      <c r="O24" s="307">
        <f t="shared" si="2"/>
        <v>73429.94</v>
      </c>
      <c r="P24" s="342">
        <f t="shared" si="1"/>
        <v>8.091671272208463E-2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f>C24</f>
        <v>8893.1</v>
      </c>
      <c r="D26" s="99">
        <f>D24</f>
        <v>12857.84</v>
      </c>
      <c r="E26" s="99">
        <f>E24</f>
        <v>36586</v>
      </c>
      <c r="F26" s="366">
        <f>F24</f>
        <v>15093</v>
      </c>
      <c r="G26" s="99"/>
      <c r="H26" s="99"/>
      <c r="I26" s="99"/>
      <c r="J26" s="99"/>
      <c r="K26" s="99"/>
      <c r="L26" s="99"/>
      <c r="M26" s="99"/>
      <c r="N26" s="99"/>
      <c r="O26" s="308">
        <f t="shared" si="2"/>
        <v>73429.94</v>
      </c>
      <c r="P26" s="343">
        <f t="shared" si="1"/>
        <v>8.091671272208463E-2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C24+C23</f>
        <v>241738.61000000002</v>
      </c>
      <c r="D27" s="158">
        <f>D24+D23</f>
        <v>253459.84999999998</v>
      </c>
      <c r="E27" s="158">
        <f>E24+E23</f>
        <v>309814.55</v>
      </c>
      <c r="F27" s="357">
        <f>F24+F23</f>
        <v>175892.5</v>
      </c>
      <c r="G27" s="158"/>
      <c r="H27" s="158"/>
      <c r="I27" s="158"/>
      <c r="J27" s="357"/>
      <c r="K27" s="158"/>
      <c r="L27" s="158"/>
      <c r="M27" s="158"/>
      <c r="N27" s="158"/>
      <c r="O27" s="158">
        <f>SUM(C27:N27)</f>
        <v>980905.51</v>
      </c>
      <c r="P27" s="330">
        <f t="shared" si="1"/>
        <v>1.0809167127220847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2" t="s">
        <v>71</v>
      </c>
      <c r="H30" s="362"/>
      <c r="I30" s="362"/>
      <c r="J30" s="56"/>
      <c r="K30" s="56"/>
      <c r="L30" s="362" t="s">
        <v>49</v>
      </c>
      <c r="M30" s="362"/>
      <c r="N30" s="362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A8" zoomScale="160" zoomScaleNormal="160" workbookViewId="0">
      <selection activeCell="F28" sqref="F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2563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26/1/64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7945.13</v>
      </c>
      <c r="D5" s="129">
        <v>9358.77</v>
      </c>
      <c r="E5" s="129">
        <v>10979.62</v>
      </c>
      <c r="F5" s="129">
        <v>18540.14</v>
      </c>
      <c r="G5" s="129"/>
      <c r="H5" s="129"/>
      <c r="I5" s="129"/>
      <c r="J5" s="129"/>
      <c r="K5" s="129"/>
      <c r="L5" s="129"/>
      <c r="M5" s="129"/>
      <c r="N5" s="129"/>
      <c r="O5" s="299"/>
      <c r="P5" s="286" t="e">
        <f t="shared" ref="P5:P27" si="0">O5/$O$23</f>
        <v>#DIV/0!</v>
      </c>
    </row>
    <row r="6" spans="1:17" ht="18" customHeight="1" x14ac:dyDescent="0.2">
      <c r="A6" s="25">
        <v>2</v>
      </c>
      <c r="B6" s="26" t="s">
        <v>19</v>
      </c>
      <c r="C6" s="129">
        <v>3784.55</v>
      </c>
      <c r="D6" s="129">
        <v>6242.92</v>
      </c>
      <c r="E6" s="129">
        <v>8757.7900000000009</v>
      </c>
      <c r="F6" s="129">
        <v>584.21</v>
      </c>
      <c r="G6" s="129"/>
      <c r="H6" s="129"/>
      <c r="I6" s="129"/>
      <c r="J6" s="129"/>
      <c r="K6" s="129"/>
      <c r="L6" s="129"/>
      <c r="M6" s="129"/>
      <c r="N6" s="129"/>
      <c r="O6" s="299"/>
      <c r="P6" s="286" t="e">
        <f t="shared" si="0"/>
        <v>#DIV/0!</v>
      </c>
    </row>
    <row r="7" spans="1:17" ht="18" customHeight="1" x14ac:dyDescent="0.2">
      <c r="A7" s="25">
        <v>3</v>
      </c>
      <c r="B7" s="26" t="s">
        <v>20</v>
      </c>
      <c r="C7" s="129">
        <v>7220.6</v>
      </c>
      <c r="D7" s="129">
        <v>7975.94</v>
      </c>
      <c r="E7" s="129">
        <v>7242.9</v>
      </c>
      <c r="F7" s="129">
        <v>5529.99</v>
      </c>
      <c r="G7" s="129"/>
      <c r="H7" s="129"/>
      <c r="I7" s="129"/>
      <c r="J7" s="129"/>
      <c r="K7" s="129"/>
      <c r="L7" s="129"/>
      <c r="M7" s="129"/>
      <c r="N7" s="129"/>
      <c r="O7" s="299"/>
      <c r="P7" s="286" t="e">
        <f t="shared" si="0"/>
        <v>#DIV/0!</v>
      </c>
    </row>
    <row r="8" spans="1:17" ht="18" customHeight="1" x14ac:dyDescent="0.2">
      <c r="A8" s="25">
        <v>4</v>
      </c>
      <c r="B8" s="26" t="s">
        <v>21</v>
      </c>
      <c r="C8" s="129">
        <v>16399.189999999999</v>
      </c>
      <c r="D8" s="129">
        <v>14133.99</v>
      </c>
      <c r="E8" s="129">
        <v>20753.66</v>
      </c>
      <c r="F8" s="129">
        <v>20015.45</v>
      </c>
      <c r="G8" s="129"/>
      <c r="H8" s="129"/>
      <c r="I8" s="129"/>
      <c r="J8" s="129"/>
      <c r="K8" s="129"/>
      <c r="L8" s="129"/>
      <c r="M8" s="129"/>
      <c r="N8" s="129"/>
      <c r="O8" s="299"/>
      <c r="P8" s="286" t="e">
        <f t="shared" si="0"/>
        <v>#DIV/0!</v>
      </c>
    </row>
    <row r="9" spans="1:17" ht="18" customHeight="1" x14ac:dyDescent="0.2">
      <c r="A9" s="25">
        <v>5</v>
      </c>
      <c r="B9" s="26" t="s">
        <v>2</v>
      </c>
      <c r="C9" s="129">
        <v>4820.0200000000004</v>
      </c>
      <c r="D9" s="129">
        <v>3682.99</v>
      </c>
      <c r="E9" s="129">
        <v>11273.08</v>
      </c>
      <c r="F9" s="129">
        <v>0</v>
      </c>
      <c r="G9" s="129"/>
      <c r="H9" s="129"/>
      <c r="I9" s="129"/>
      <c r="J9" s="129"/>
      <c r="K9" s="129"/>
      <c r="L9" s="129"/>
      <c r="M9" s="129"/>
      <c r="N9" s="129"/>
      <c r="O9" s="299"/>
      <c r="P9" s="286" t="e">
        <f t="shared" si="0"/>
        <v>#DIV/0!</v>
      </c>
    </row>
    <row r="10" spans="1:17" ht="18" customHeight="1" x14ac:dyDescent="0.2">
      <c r="A10" s="25">
        <v>6</v>
      </c>
      <c r="B10" s="26" t="s">
        <v>3</v>
      </c>
      <c r="C10" s="129">
        <v>4934.99</v>
      </c>
      <c r="D10" s="129">
        <v>11124.69</v>
      </c>
      <c r="E10" s="129">
        <v>3702.69</v>
      </c>
      <c r="F10" s="129">
        <v>2271.2399999999998</v>
      </c>
      <c r="G10" s="129"/>
      <c r="H10" s="129"/>
      <c r="I10" s="129"/>
      <c r="J10" s="129"/>
      <c r="K10" s="129"/>
      <c r="L10" s="129"/>
      <c r="M10" s="129"/>
      <c r="N10" s="129"/>
      <c r="O10" s="299"/>
      <c r="P10" s="286" t="e">
        <f t="shared" si="0"/>
        <v>#DIV/0!</v>
      </c>
    </row>
    <row r="11" spans="1:17" ht="18" customHeight="1" x14ac:dyDescent="0.2">
      <c r="A11" s="25">
        <v>7</v>
      </c>
      <c r="B11" s="26" t="s">
        <v>4</v>
      </c>
      <c r="C11" s="129">
        <v>5556.91</v>
      </c>
      <c r="D11" s="129">
        <v>3947.17</v>
      </c>
      <c r="E11" s="129">
        <v>2140.16</v>
      </c>
      <c r="F11" s="129">
        <v>7439.92</v>
      </c>
      <c r="G11" s="129"/>
      <c r="H11" s="129"/>
      <c r="I11" s="129"/>
      <c r="J11" s="129"/>
      <c r="K11" s="129"/>
      <c r="L11" s="129"/>
      <c r="M11" s="129"/>
      <c r="N11" s="129"/>
      <c r="O11" s="299"/>
      <c r="P11" s="286" t="e">
        <f t="shared" si="0"/>
        <v>#DIV/0!</v>
      </c>
    </row>
    <row r="12" spans="1:17" ht="18" customHeight="1" x14ac:dyDescent="0.2">
      <c r="A12" s="25">
        <v>8</v>
      </c>
      <c r="B12" s="26" t="s">
        <v>5</v>
      </c>
      <c r="C12" s="129">
        <v>11759.95</v>
      </c>
      <c r="D12" s="129">
        <v>9381.89</v>
      </c>
      <c r="E12" s="129">
        <v>0</v>
      </c>
      <c r="F12" s="129">
        <v>14130.54</v>
      </c>
      <c r="G12" s="129"/>
      <c r="H12" s="129"/>
      <c r="I12" s="129"/>
      <c r="J12" s="129"/>
      <c r="K12" s="129"/>
      <c r="L12" s="129"/>
      <c r="M12" s="129"/>
      <c r="N12" s="129"/>
      <c r="O12" s="299"/>
      <c r="P12" s="286" t="e">
        <f t="shared" si="0"/>
        <v>#DIV/0!</v>
      </c>
    </row>
    <row r="13" spans="1:17" ht="18" customHeight="1" x14ac:dyDescent="0.2">
      <c r="A13" s="25">
        <v>9</v>
      </c>
      <c r="B13" s="26" t="s">
        <v>6</v>
      </c>
      <c r="C13" s="129">
        <v>2193.94</v>
      </c>
      <c r="D13" s="129">
        <v>4143.53</v>
      </c>
      <c r="E13" s="129">
        <v>9165.94</v>
      </c>
      <c r="F13" s="129">
        <v>9166.2800000000007</v>
      </c>
      <c r="G13" s="129"/>
      <c r="H13" s="129"/>
      <c r="I13" s="129"/>
      <c r="J13" s="129"/>
      <c r="K13" s="129"/>
      <c r="L13" s="129"/>
      <c r="M13" s="129"/>
      <c r="N13" s="129"/>
      <c r="O13" s="299"/>
      <c r="P13" s="286" t="e">
        <f t="shared" si="0"/>
        <v>#DIV/0!</v>
      </c>
    </row>
    <row r="14" spans="1:17" ht="18" customHeight="1" x14ac:dyDescent="0.2">
      <c r="A14" s="25">
        <v>10</v>
      </c>
      <c r="B14" s="26" t="s">
        <v>7</v>
      </c>
      <c r="C14" s="129">
        <v>0</v>
      </c>
      <c r="D14" s="129">
        <v>5775.11</v>
      </c>
      <c r="E14" s="129">
        <v>915.06</v>
      </c>
      <c r="F14" s="129">
        <v>6914.06</v>
      </c>
      <c r="G14" s="129"/>
      <c r="H14" s="129"/>
      <c r="I14" s="129"/>
      <c r="J14" s="129"/>
      <c r="K14" s="129"/>
      <c r="L14" s="129"/>
      <c r="M14" s="129"/>
      <c r="N14" s="129"/>
      <c r="O14" s="299"/>
      <c r="P14" s="286" t="e">
        <f t="shared" si="0"/>
        <v>#DIV/0!</v>
      </c>
    </row>
    <row r="15" spans="1:17" ht="18" customHeight="1" x14ac:dyDescent="0.2">
      <c r="A15" s="25">
        <v>11</v>
      </c>
      <c r="B15" s="26" t="s">
        <v>8</v>
      </c>
      <c r="C15" s="129">
        <v>8049.23</v>
      </c>
      <c r="D15" s="129">
        <v>2327.4299999999998</v>
      </c>
      <c r="E15" s="129">
        <f>5772.2</f>
        <v>5772.2</v>
      </c>
      <c r="F15" s="129">
        <v>0</v>
      </c>
      <c r="G15" s="129"/>
      <c r="H15" s="129"/>
      <c r="I15" s="129"/>
      <c r="J15" s="129"/>
      <c r="K15" s="129"/>
      <c r="L15" s="129"/>
      <c r="M15" s="129"/>
      <c r="N15" s="129"/>
      <c r="O15" s="299"/>
      <c r="P15" s="286" t="e">
        <f t="shared" si="0"/>
        <v>#DIV/0!</v>
      </c>
    </row>
    <row r="16" spans="1:17" ht="18" customHeight="1" x14ac:dyDescent="0.2">
      <c r="A16" s="25">
        <v>12</v>
      </c>
      <c r="B16" s="26" t="s">
        <v>9</v>
      </c>
      <c r="C16" s="129">
        <v>4732.3999999999996</v>
      </c>
      <c r="D16" s="129">
        <v>776.34</v>
      </c>
      <c r="E16" s="129">
        <v>4377.3100000000004</v>
      </c>
      <c r="F16" s="129">
        <v>2726.61</v>
      </c>
      <c r="G16" s="129"/>
      <c r="H16" s="129"/>
      <c r="I16" s="129"/>
      <c r="J16" s="129"/>
      <c r="K16" s="129"/>
      <c r="L16" s="129"/>
      <c r="M16" s="129"/>
      <c r="N16" s="129"/>
      <c r="O16" s="299"/>
      <c r="P16" s="286" t="e">
        <f t="shared" si="0"/>
        <v>#DIV/0!</v>
      </c>
    </row>
    <row r="17" spans="1:16" ht="18" customHeight="1" x14ac:dyDescent="0.2">
      <c r="A17" s="25">
        <v>13</v>
      </c>
      <c r="B17" s="26" t="s">
        <v>10</v>
      </c>
      <c r="C17" s="129">
        <v>2965.1</v>
      </c>
      <c r="D17" s="129">
        <v>2509.9</v>
      </c>
      <c r="E17" s="129">
        <v>0</v>
      </c>
      <c r="F17" s="129">
        <v>7448.34</v>
      </c>
      <c r="G17" s="129"/>
      <c r="H17" s="129"/>
      <c r="I17" s="129"/>
      <c r="J17" s="129"/>
      <c r="K17" s="129"/>
      <c r="L17" s="129"/>
      <c r="M17" s="129"/>
      <c r="N17" s="129"/>
      <c r="O17" s="299"/>
      <c r="P17" s="286" t="e">
        <f t="shared" si="0"/>
        <v>#DIV/0!</v>
      </c>
    </row>
    <row r="18" spans="1:16" ht="18" customHeight="1" x14ac:dyDescent="0.2">
      <c r="A18" s="25">
        <v>14</v>
      </c>
      <c r="B18" s="26" t="s">
        <v>11</v>
      </c>
      <c r="C18" s="129">
        <v>7474.47</v>
      </c>
      <c r="D18" s="129">
        <v>5625.49</v>
      </c>
      <c r="E18" s="129">
        <v>7367.67</v>
      </c>
      <c r="F18" s="129">
        <v>3745.92</v>
      </c>
      <c r="G18" s="129"/>
      <c r="H18" s="129"/>
      <c r="I18" s="129"/>
      <c r="J18" s="129"/>
      <c r="K18" s="129"/>
      <c r="L18" s="129"/>
      <c r="M18" s="129"/>
      <c r="N18" s="129"/>
      <c r="O18" s="299"/>
      <c r="P18" s="286" t="e">
        <f t="shared" si="0"/>
        <v>#DIV/0!</v>
      </c>
    </row>
    <row r="19" spans="1:16" ht="18" customHeight="1" x14ac:dyDescent="0.2">
      <c r="A19" s="25">
        <v>15</v>
      </c>
      <c r="B19" s="26" t="s">
        <v>12</v>
      </c>
      <c r="C19" s="129">
        <v>6169.08</v>
      </c>
      <c r="D19" s="129">
        <v>6420.16</v>
      </c>
      <c r="E19" s="129">
        <v>12228.54</v>
      </c>
      <c r="F19" s="129">
        <v>8419.94</v>
      </c>
      <c r="G19" s="129"/>
      <c r="H19" s="129"/>
      <c r="I19" s="129"/>
      <c r="J19" s="129"/>
      <c r="K19" s="129"/>
      <c r="L19" s="129"/>
      <c r="M19" s="129"/>
      <c r="N19" s="129"/>
      <c r="O19" s="299"/>
      <c r="P19" s="286" t="e">
        <f t="shared" si="0"/>
        <v>#DIV/0!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v>5822.78</v>
      </c>
      <c r="E20" s="129">
        <v>0</v>
      </c>
      <c r="F20" s="129">
        <v>3327.66</v>
      </c>
      <c r="G20" s="129"/>
      <c r="H20" s="129"/>
      <c r="I20" s="129"/>
      <c r="J20" s="129"/>
      <c r="K20" s="129"/>
      <c r="L20" s="129"/>
      <c r="M20" s="129"/>
      <c r="N20" s="129"/>
      <c r="O20" s="299"/>
      <c r="P20" s="286" t="e">
        <f t="shared" si="0"/>
        <v>#DIV/0!</v>
      </c>
    </row>
    <row r="21" spans="1:16" ht="18" customHeight="1" x14ac:dyDescent="0.2">
      <c r="A21" s="25">
        <v>17</v>
      </c>
      <c r="B21" s="26" t="s">
        <v>14</v>
      </c>
      <c r="C21" s="129">
        <v>9009.0499999999993</v>
      </c>
      <c r="D21" s="129">
        <v>7419.04</v>
      </c>
      <c r="E21" s="129">
        <v>5707.61</v>
      </c>
      <c r="F21" s="129">
        <v>8812.17</v>
      </c>
      <c r="G21" s="129"/>
      <c r="H21" s="129"/>
      <c r="I21" s="129"/>
      <c r="J21" s="129"/>
      <c r="K21" s="129"/>
      <c r="L21" s="129"/>
      <c r="M21" s="129"/>
      <c r="N21" s="129"/>
      <c r="O21" s="299"/>
      <c r="P21" s="286" t="e">
        <f t="shared" si="0"/>
        <v>#DIV/0!</v>
      </c>
    </row>
    <row r="22" spans="1:16" ht="18" customHeight="1" x14ac:dyDescent="0.2">
      <c r="A22" s="25">
        <v>18</v>
      </c>
      <c r="B22" s="26" t="s">
        <v>15</v>
      </c>
      <c r="C22" s="129">
        <v>5752.6</v>
      </c>
      <c r="D22" s="129">
        <v>4014.93</v>
      </c>
      <c r="E22" s="129">
        <v>4483.97</v>
      </c>
      <c r="F22" s="129">
        <v>10559.29</v>
      </c>
      <c r="G22" s="129"/>
      <c r="H22" s="129"/>
      <c r="I22" s="129"/>
      <c r="J22" s="129"/>
      <c r="K22" s="129"/>
      <c r="L22" s="129"/>
      <c r="M22" s="129"/>
      <c r="N22" s="129"/>
      <c r="O22" s="299"/>
      <c r="P22" s="286" t="e">
        <f t="shared" si="0"/>
        <v>#DIV/0!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C22+C21+C20+C19+C18+C17+C16+C15+C14+C13+C12+C11+C10+C9+C8+C7+C6+C5</f>
        <v>108767.21000000002</v>
      </c>
      <c r="D23" s="154">
        <f>D22+D21+D20+D19+D18+D17+D16+D15+D14+D13+D12+D11+D10+D9+D8+D7+D6+D5</f>
        <v>110683.07</v>
      </c>
      <c r="E23" s="154">
        <f>E21+E21+E20+E19+E18+E17+E16+E15+E14+E13+E12+E11+E10+E9+E8+E7+E6+E5</f>
        <v>116091.84</v>
      </c>
      <c r="F23" s="359">
        <f>F21+F22+F20+F19+F18+F17+F16+F15+F14+F13+F12+F11+F10+F9+F8+F7+F6+F5</f>
        <v>129631.76000000001</v>
      </c>
      <c r="G23" s="154"/>
      <c r="H23" s="154"/>
      <c r="I23" s="154"/>
      <c r="J23" s="154"/>
      <c r="K23" s="154"/>
      <c r="L23" s="154"/>
      <c r="M23" s="154"/>
      <c r="N23" s="154"/>
      <c r="O23" s="154"/>
      <c r="P23" s="287" t="e">
        <f t="shared" si="0"/>
        <v>#DIV/0!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/>
      <c r="H24" s="130"/>
      <c r="I24" s="130"/>
      <c r="J24" s="130"/>
      <c r="K24" s="130"/>
      <c r="L24" s="130"/>
      <c r="M24" s="130"/>
      <c r="N24" s="130"/>
      <c r="O24" s="300"/>
      <c r="P24" s="333" t="e">
        <f t="shared" si="0"/>
        <v>#DIV/0!</v>
      </c>
    </row>
    <row r="25" spans="1:16" ht="18" customHeight="1" x14ac:dyDescent="0.2">
      <c r="A25" s="30">
        <v>21</v>
      </c>
      <c r="B25" s="26" t="s">
        <v>84</v>
      </c>
      <c r="C25" s="130">
        <v>0</v>
      </c>
      <c r="D25" s="130">
        <v>0</v>
      </c>
      <c r="E25" s="130">
        <v>0</v>
      </c>
      <c r="F25" s="130">
        <v>0</v>
      </c>
      <c r="G25" s="130"/>
      <c r="H25" s="130"/>
      <c r="I25" s="130"/>
      <c r="J25" s="130"/>
      <c r="K25" s="130"/>
      <c r="L25" s="130"/>
      <c r="M25" s="130"/>
      <c r="N25" s="130"/>
      <c r="O25" s="300"/>
      <c r="P25" s="333" t="e">
        <f t="shared" si="0"/>
        <v>#DIV/0!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v>0</v>
      </c>
      <c r="D26" s="152">
        <v>0</v>
      </c>
      <c r="E26" s="152">
        <v>0</v>
      </c>
      <c r="F26" s="152">
        <v>0</v>
      </c>
      <c r="G26" s="152"/>
      <c r="H26" s="152"/>
      <c r="I26" s="152"/>
      <c r="J26" s="152"/>
      <c r="K26" s="152"/>
      <c r="L26" s="152"/>
      <c r="M26" s="152"/>
      <c r="N26" s="152"/>
      <c r="O26" s="301"/>
      <c r="P26" s="288" t="e">
        <f t="shared" si="0"/>
        <v>#DIV/0!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</f>
        <v>108767.21000000002</v>
      </c>
      <c r="D27" s="208">
        <f>D23</f>
        <v>110683.07</v>
      </c>
      <c r="E27" s="208">
        <f>E23</f>
        <v>116091.84</v>
      </c>
      <c r="F27" s="208">
        <f>F23</f>
        <v>129631.76000000001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77" t="e">
        <f t="shared" si="0"/>
        <v>#DIV/0!</v>
      </c>
    </row>
    <row r="28" spans="1:16" ht="16.5" customHeight="1" x14ac:dyDescent="0.2">
      <c r="D28" s="125" t="s">
        <v>82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2563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26/1/64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20%'!C5+'4.ยาเรื้อรังฟรี'!C5</f>
        <v>79211.58</v>
      </c>
      <c r="D5" s="192">
        <f>'1.ยาทั่วไป'!D5+'2.ยาแพทย์ PCC'!D5+'3.ยาเรื้อรัง 20%'!D5+'4.ยาเรื้อรังฟรี'!D5</f>
        <v>69785.08</v>
      </c>
      <c r="E5" s="192">
        <f>'1.ยาทั่วไป'!E5+'2.ยาแพทย์ PCC'!E5+'3.ยาเรื้อรัง 20%'!E5+'4.ยาเรื้อรังฟรี'!E5</f>
        <v>83881.3</v>
      </c>
      <c r="F5" s="192">
        <f>'1.ยาทั่วไป'!F5+'2.ยาแพทย์ PCC'!F5+'3.ยาเรื้อรัง 20%'!F5+'4.ยาเรื้อรังฟรี'!F5</f>
        <v>84523.89</v>
      </c>
      <c r="G5" s="192">
        <f>'1.ยาทั่วไป'!G5+'2.ยาแพทย์ PCC'!G5+'3.ยาเรื้อรัง 20%'!G5+'4.ยาเรื้อรังฟรี'!G5</f>
        <v>0</v>
      </c>
      <c r="H5" s="192">
        <f>'1.ยาทั่วไป'!H5+'2.ยาแพทย์ PCC'!H5+'3.ยาเรื้อรัง 20%'!H5+'4.ยาเรื้อรังฟรี'!H5</f>
        <v>0</v>
      </c>
      <c r="I5" s="192">
        <f>'1.ยาทั่วไป'!I5+'2.ยาแพทย์ PCC'!I5+'3.ยาเรื้อรัง 20%'!I5+'4.ยาเรื้อรังฟรี'!I5</f>
        <v>0</v>
      </c>
      <c r="J5" s="192">
        <f>'1.ยาทั่วไป'!J5+'2.ยาแพทย์ PCC'!J5+'3.ยาเรื้อรัง 20%'!J5+'4.ยาเรื้อรังฟรี'!J5</f>
        <v>0</v>
      </c>
      <c r="K5" s="192">
        <f>'1.ยาทั่วไป'!K5+'2.ยาแพทย์ PCC'!K5+'3.ยาเรื้อรัง 20%'!K5+'4.ยาเรื้อรังฟรี'!K5</f>
        <v>0</v>
      </c>
      <c r="L5" s="192">
        <f>'1.ยาทั่วไป'!L5+'2.ยาแพทย์ PCC'!L5+'3.ยาเรื้อรัง 20%'!L5+'4.ยาเรื้อรังฟรี'!L5</f>
        <v>0</v>
      </c>
      <c r="M5" s="192">
        <f>'1.ยาทั่วไป'!M5+'2.ยาแพทย์ PCC'!M5+'3.ยาเรื้อรัง 20%'!M5+'4.ยาเรื้อรังฟรี'!M5</f>
        <v>0</v>
      </c>
      <c r="N5" s="192">
        <f>'1.ยาทั่วไป'!N5+'2.ยาแพทย์ PCC'!N5+'3.ยาเรื้อรัง 20%'!N5+'4.ยาเรื้อรังฟรี'!N5</f>
        <v>0</v>
      </c>
      <c r="O5" s="310">
        <f>SUM(C5:N5)</f>
        <v>317401.85000000003</v>
      </c>
      <c r="P5" s="313">
        <f t="shared" ref="P5:P27" si="0">O5/$O$23</f>
        <v>0.204767115826373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20%'!C6+'4.ยาเรื้อรังฟรี'!C6</f>
        <v>46682.400000000001</v>
      </c>
      <c r="D6" s="192">
        <f>'1.ยาทั่วไป'!D6+'2.ยาแพทย์ PCC'!D6+'3.ยาเรื้อรัง 20%'!D6+'4.ยาเรื้อรังฟรี'!D6</f>
        <v>37721.65</v>
      </c>
      <c r="E6" s="192">
        <f>'1.ยาทั่วไป'!E6+'2.ยาแพทย์ PCC'!E6+'3.ยาเรื้อรัง 20%'!E6+'4.ยาเรื้อรังฟรี'!E6</f>
        <v>51572</v>
      </c>
      <c r="F6" s="192">
        <f>'1.ยาทั่วไป'!F6+'2.ยาแพทย์ PCC'!F6+'3.ยาเรื้อรัง 20%'!F6+'4.ยาเรื้อรังฟรี'!F6</f>
        <v>34116.44</v>
      </c>
      <c r="G6" s="192">
        <f>'1.ยาทั่วไป'!G6+'2.ยาแพทย์ PCC'!G6+'3.ยาเรื้อรัง 20%'!G6+'4.ยาเรื้อรังฟรี'!G6</f>
        <v>0</v>
      </c>
      <c r="H6" s="192">
        <f>'1.ยาทั่วไป'!H6+'2.ยาแพทย์ PCC'!H6+'3.ยาเรื้อรัง 20%'!H6+'4.ยาเรื้อรังฟรี'!H6</f>
        <v>0</v>
      </c>
      <c r="I6" s="192">
        <f>'1.ยาทั่วไป'!I6+'2.ยาแพทย์ PCC'!I6+'3.ยาเรื้อรัง 20%'!I6+'4.ยาเรื้อรังฟรี'!I6</f>
        <v>0</v>
      </c>
      <c r="J6" s="192">
        <f>'1.ยาทั่วไป'!J6+'2.ยาแพทย์ PCC'!J6+'3.ยาเรื้อรัง 20%'!J6+'4.ยาเรื้อรังฟรี'!J6</f>
        <v>0</v>
      </c>
      <c r="K6" s="192">
        <f>'1.ยาทั่วไป'!K6+'2.ยาแพทย์ PCC'!K6+'3.ยาเรื้อรัง 20%'!K6+'4.ยาเรื้อรังฟรี'!K6</f>
        <v>0</v>
      </c>
      <c r="L6" s="192">
        <f>'1.ยาทั่วไป'!L6+'2.ยาแพทย์ PCC'!L6+'3.ยาเรื้อรัง 20%'!L6+'4.ยาเรื้อรังฟรี'!L6</f>
        <v>0</v>
      </c>
      <c r="M6" s="192">
        <f>'1.ยาทั่วไป'!M6+'2.ยาแพทย์ PCC'!M6+'3.ยาเรื้อรัง 20%'!M6+'4.ยาเรื้อรังฟรี'!M6</f>
        <v>0</v>
      </c>
      <c r="N6" s="192">
        <f>'1.ยาทั่วไป'!N6+'2.ยาแพทย์ PCC'!N6+'3.ยาเรื้อรัง 20%'!N6+'4.ยาเรื้อรังฟรี'!N6</f>
        <v>0</v>
      </c>
      <c r="O6" s="310">
        <f>SUM(C6:N6)</f>
        <v>170092.49</v>
      </c>
      <c r="P6" s="313">
        <f t="shared" si="0"/>
        <v>0.10973265783115689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20%'!C7+'4.ยาเรื้อรังฟรี'!C7</f>
        <v>27500.440000000002</v>
      </c>
      <c r="D7" s="192">
        <f>'1.ยาทั่วไป'!D7+'2.ยาแพทย์ PCC'!D7+'3.ยาเรื้อรัง 20%'!D7+'4.ยาเรื้อรังฟรี'!D7</f>
        <v>20089.77</v>
      </c>
      <c r="E7" s="192">
        <f>'1.ยาทั่วไป'!E7+'2.ยาแพทย์ PCC'!E7+'3.ยาเรื้อรัง 20%'!E7+'4.ยาเรื้อรังฟรี'!E7</f>
        <v>12002.65</v>
      </c>
      <c r="F7" s="192">
        <f>'1.ยาทั่วไป'!F7+'2.ยาแพทย์ PCC'!F7+'3.ยาเรื้อรัง 20%'!F7+'4.ยาเรื้อรังฟรี'!F7</f>
        <v>17389.5</v>
      </c>
      <c r="G7" s="192">
        <f>'1.ยาทั่วไป'!G7+'2.ยาแพทย์ PCC'!G7+'3.ยาเรื้อรัง 20%'!G7+'4.ยาเรื้อรังฟรี'!G7</f>
        <v>0</v>
      </c>
      <c r="H7" s="192">
        <f>'1.ยาทั่วไป'!H7+'2.ยาแพทย์ PCC'!H7+'3.ยาเรื้อรัง 20%'!H7+'4.ยาเรื้อรังฟรี'!H7</f>
        <v>0</v>
      </c>
      <c r="I7" s="192">
        <f>'1.ยาทั่วไป'!I7+'2.ยาแพทย์ PCC'!I7+'3.ยาเรื้อรัง 20%'!I7+'4.ยาเรื้อรังฟรี'!I7</f>
        <v>0</v>
      </c>
      <c r="J7" s="192">
        <f>'1.ยาทั่วไป'!J7+'2.ยาแพทย์ PCC'!J7+'3.ยาเรื้อรัง 20%'!J7+'4.ยาเรื้อรังฟรี'!J7</f>
        <v>0</v>
      </c>
      <c r="K7" s="192">
        <f>'1.ยาทั่วไป'!K7+'2.ยาแพทย์ PCC'!K7+'3.ยาเรื้อรัง 20%'!K7+'4.ยาเรื้อรังฟรี'!K7</f>
        <v>0</v>
      </c>
      <c r="L7" s="192">
        <f>'1.ยาทั่วไป'!L7+'2.ยาแพทย์ PCC'!L7+'3.ยาเรื้อรัง 20%'!L7+'4.ยาเรื้อรังฟรี'!L7</f>
        <v>0</v>
      </c>
      <c r="M7" s="192">
        <f>'1.ยาทั่วไป'!M7+'2.ยาแพทย์ PCC'!M7+'3.ยาเรื้อรัง 20%'!M7+'4.ยาเรื้อรังฟรี'!M7</f>
        <v>0</v>
      </c>
      <c r="N7" s="192">
        <f>'1.ยาทั่วไป'!N7+'2.ยาแพทย์ PCC'!N7+'3.ยาเรื้อรัง 20%'!N7+'4.ยาเรื้อรังฟรี'!N7</f>
        <v>0</v>
      </c>
      <c r="O7" s="310">
        <f t="shared" ref="O7:O22" si="1">SUM(C7:N7)</f>
        <v>76982.360000000015</v>
      </c>
      <c r="P7" s="313">
        <f t="shared" si="0"/>
        <v>4.9664032603173369E-2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20%'!C8+'4.ยาเรื้อรังฟรี'!C8</f>
        <v>2700</v>
      </c>
      <c r="D8" s="192">
        <f>'1.ยาทั่วไป'!D8+'2.ยาแพทย์ PCC'!D8+'3.ยาเรื้อรัง 20%'!D8+'4.ยาเรื้อรังฟรี'!D8</f>
        <v>56356.95</v>
      </c>
      <c r="E8" s="192">
        <f>'1.ยาทั่วไป'!E8+'2.ยาแพทย์ PCC'!E8+'3.ยาเรื้อรัง 20%'!E8+'4.ยาเรื้อรังฟรี'!E8</f>
        <v>64565.8</v>
      </c>
      <c r="F8" s="192">
        <f>'1.ยาทั่วไป'!F8+'2.ยาแพทย์ PCC'!F8+'3.ยาเรื้อรัง 20%'!F8+'4.ยาเรื้อรังฟรี'!F8</f>
        <v>6444</v>
      </c>
      <c r="G8" s="192">
        <f>'1.ยาทั่วไป'!G8+'2.ยาแพทย์ PCC'!G8+'3.ยาเรื้อรัง 20%'!G8+'4.ยาเรื้อรังฟรี'!G8</f>
        <v>0</v>
      </c>
      <c r="H8" s="192">
        <f>'1.ยาทั่วไป'!H8+'2.ยาแพทย์ PCC'!H8+'3.ยาเรื้อรัง 20%'!H8+'4.ยาเรื้อรังฟรี'!H8</f>
        <v>0</v>
      </c>
      <c r="I8" s="192">
        <f>'1.ยาทั่วไป'!I8+'2.ยาแพทย์ PCC'!I8+'3.ยาเรื้อรัง 20%'!I8+'4.ยาเรื้อรังฟรี'!I8</f>
        <v>0</v>
      </c>
      <c r="J8" s="192">
        <f>'1.ยาทั่วไป'!J8+'2.ยาแพทย์ PCC'!J8+'3.ยาเรื้อรัง 20%'!J8+'4.ยาเรื้อรังฟรี'!J8</f>
        <v>0</v>
      </c>
      <c r="K8" s="192">
        <f>'1.ยาทั่วไป'!K8+'2.ยาแพทย์ PCC'!K8+'3.ยาเรื้อรัง 20%'!K8+'4.ยาเรื้อรังฟรี'!K8</f>
        <v>0</v>
      </c>
      <c r="L8" s="192">
        <f>'1.ยาทั่วไป'!L8+'2.ยาแพทย์ PCC'!L8+'3.ยาเรื้อรัง 20%'!L8+'4.ยาเรื้อรังฟรี'!L8</f>
        <v>0</v>
      </c>
      <c r="M8" s="192">
        <f>'1.ยาทั่วไป'!M8+'2.ยาแพทย์ PCC'!M8+'3.ยาเรื้อรัง 20%'!M8+'4.ยาเรื้อรังฟรี'!M8</f>
        <v>0</v>
      </c>
      <c r="N8" s="192">
        <f>'1.ยาทั่วไป'!N8+'2.ยาแพทย์ PCC'!N8+'3.ยาเรื้อรัง 20%'!N8+'4.ยาเรื้อรังฟรี'!N8</f>
        <v>0</v>
      </c>
      <c r="O8" s="310">
        <f t="shared" si="1"/>
        <v>130066.75</v>
      </c>
      <c r="P8" s="313">
        <f t="shared" si="0"/>
        <v>8.3910642809453997E-2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20%'!C9+'4.ยาเรื้อรังฟรี'!C9</f>
        <v>9201.119999999999</v>
      </c>
      <c r="D9" s="192">
        <f>'1.ยาทั่วไป'!D9+'2.ยาแพทย์ PCC'!D9+'3.ยาเรื้อรัง 20%'!D9+'4.ยาเรื้อรังฟรี'!D9</f>
        <v>26251.809999999998</v>
      </c>
      <c r="E9" s="192">
        <f>'1.ยาทั่วไป'!E9+'2.ยาแพทย์ PCC'!E9+'3.ยาเรื้อรัง 20%'!E9+'4.ยาเรื้อรังฟรี'!E9</f>
        <v>23945.68</v>
      </c>
      <c r="F9" s="192">
        <f>'1.ยาทั่วไป'!F9+'2.ยาแพทย์ PCC'!F9+'3.ยาเรื้อรัง 20%'!F9+'4.ยาเรื้อรังฟรี'!F9</f>
        <v>19703.5</v>
      </c>
      <c r="G9" s="192">
        <f>'1.ยาทั่วไป'!G9+'2.ยาแพทย์ PCC'!G9+'3.ยาเรื้อรัง 20%'!G9+'4.ยาเรื้อรังฟรี'!G9</f>
        <v>0</v>
      </c>
      <c r="H9" s="192">
        <f>'1.ยาทั่วไป'!H9+'2.ยาแพทย์ PCC'!H9+'3.ยาเรื้อรัง 20%'!H9+'4.ยาเรื้อรังฟรี'!H9</f>
        <v>0</v>
      </c>
      <c r="I9" s="192">
        <f>'1.ยาทั่วไป'!I9+'2.ยาแพทย์ PCC'!I9+'3.ยาเรื้อรัง 20%'!I9+'4.ยาเรื้อรังฟรี'!I9</f>
        <v>0</v>
      </c>
      <c r="J9" s="192">
        <f>'1.ยาทั่วไป'!J9+'2.ยาแพทย์ PCC'!J9+'3.ยาเรื้อรัง 20%'!J9+'4.ยาเรื้อรังฟรี'!J9</f>
        <v>0</v>
      </c>
      <c r="K9" s="192">
        <f>'1.ยาทั่วไป'!K9+'2.ยาแพทย์ PCC'!K9+'3.ยาเรื้อรัง 20%'!K9+'4.ยาเรื้อรังฟรี'!K9</f>
        <v>0</v>
      </c>
      <c r="L9" s="192">
        <f>'1.ยาทั่วไป'!L9+'2.ยาแพทย์ PCC'!L9+'3.ยาเรื้อรัง 20%'!L9+'4.ยาเรื้อรังฟรี'!L9</f>
        <v>0</v>
      </c>
      <c r="M9" s="192">
        <f>'1.ยาทั่วไป'!M9+'2.ยาแพทย์ PCC'!M9+'3.ยาเรื้อรัง 20%'!M9+'4.ยาเรื้อรังฟรี'!M9</f>
        <v>0</v>
      </c>
      <c r="N9" s="192">
        <f>'1.ยาทั่วไป'!N9+'2.ยาแพทย์ PCC'!N9+'3.ยาเรื้อรัง 20%'!N9+'4.ยาเรื้อรังฟรี'!N9</f>
        <v>0</v>
      </c>
      <c r="O9" s="310">
        <f t="shared" si="1"/>
        <v>79102.109999999986</v>
      </c>
      <c r="P9" s="313">
        <f t="shared" si="0"/>
        <v>5.1031558009130985E-2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20%'!C10+'4.ยาเรื้อรังฟรี'!C10</f>
        <v>11786.29</v>
      </c>
      <c r="D10" s="192">
        <f>'1.ยาทั่วไป'!D10+'2.ยาแพทย์ PCC'!D10+'3.ยาเรื้อรัง 20%'!D10+'4.ยาเรื้อรังฟรี'!D10</f>
        <v>25912.05</v>
      </c>
      <c r="E10" s="192">
        <f>'1.ยาทั่วไป'!E10+'2.ยาแพทย์ PCC'!E10+'3.ยาเรื้อรัง 20%'!E10+'4.ยาเรื้อรังฟรี'!E10</f>
        <v>9521</v>
      </c>
      <c r="F10" s="192">
        <f>'1.ยาทั่วไป'!F10+'2.ยาแพทย์ PCC'!F10+'3.ยาเรื้อรัง 20%'!F10+'4.ยาเรื้อรังฟรี'!F10</f>
        <v>9385.67</v>
      </c>
      <c r="G10" s="192">
        <f>'1.ยาทั่วไป'!G10+'2.ยาแพทย์ PCC'!G10+'3.ยาเรื้อรัง 20%'!G10+'4.ยาเรื้อรังฟรี'!G10</f>
        <v>0</v>
      </c>
      <c r="H10" s="192">
        <f>'1.ยาทั่วไป'!H10+'2.ยาแพทย์ PCC'!H10+'3.ยาเรื้อรัง 20%'!H10+'4.ยาเรื้อรังฟรี'!H10</f>
        <v>0</v>
      </c>
      <c r="I10" s="192">
        <f>'1.ยาทั่วไป'!I10+'2.ยาแพทย์ PCC'!I10+'3.ยาเรื้อรัง 20%'!I10+'4.ยาเรื้อรังฟรี'!I10</f>
        <v>0</v>
      </c>
      <c r="J10" s="192">
        <f>'1.ยาทั่วไป'!J10+'2.ยาแพทย์ PCC'!J10+'3.ยาเรื้อรัง 20%'!J10+'4.ยาเรื้อรังฟรี'!J10</f>
        <v>0</v>
      </c>
      <c r="K10" s="192">
        <f>'1.ยาทั่วไป'!K10+'2.ยาแพทย์ PCC'!K10+'3.ยาเรื้อรัง 20%'!K10+'4.ยาเรื้อรังฟรี'!K10</f>
        <v>0</v>
      </c>
      <c r="L10" s="192">
        <f>'1.ยาทั่วไป'!L10+'2.ยาแพทย์ PCC'!L10+'3.ยาเรื้อรัง 20%'!L10+'4.ยาเรื้อรังฟรี'!L10</f>
        <v>0</v>
      </c>
      <c r="M10" s="192">
        <f>'1.ยาทั่วไป'!M10+'2.ยาแพทย์ PCC'!M10+'3.ยาเรื้อรัง 20%'!M10+'4.ยาเรื้อรังฟรี'!M10</f>
        <v>0</v>
      </c>
      <c r="N10" s="192">
        <f>'1.ยาทั่วไป'!N10+'2.ยาแพทย์ PCC'!N10+'3.ยาเรื้อรัง 20%'!N10+'4.ยาเรื้อรังฟรี'!N10</f>
        <v>0</v>
      </c>
      <c r="O10" s="310">
        <f t="shared" si="1"/>
        <v>56605.009999999995</v>
      </c>
      <c r="P10" s="313">
        <f t="shared" si="0"/>
        <v>3.6517886203319229E-2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20%'!C11+'4.ยาเรื้อรังฟรี'!C11</f>
        <v>3899</v>
      </c>
      <c r="D11" s="192">
        <f>'1.ยาทั่วไป'!D11+'2.ยาแพทย์ PCC'!D11+'3.ยาเรื้อรัง 20%'!D11+'4.ยาเรื้อรังฟรี'!D11</f>
        <v>15740.26</v>
      </c>
      <c r="E11" s="192">
        <f>'1.ยาทั่วไป'!E11+'2.ยาแพทย์ PCC'!E11+'3.ยาเรื้อรัง 20%'!E11+'4.ยาเรื้อรังฟรี'!E11</f>
        <v>13246.630000000001</v>
      </c>
      <c r="F11" s="192">
        <f>'1.ยาทั่วไป'!F11+'2.ยาแพทย์ PCC'!F11+'3.ยาเรื้อรัง 20%'!F11+'4.ยาเรื้อรังฟรี'!F11</f>
        <v>9254.880000000001</v>
      </c>
      <c r="G11" s="192">
        <f>'1.ยาทั่วไป'!G11+'2.ยาแพทย์ PCC'!G11+'3.ยาเรื้อรัง 20%'!G11+'4.ยาเรื้อรังฟรี'!G11</f>
        <v>0</v>
      </c>
      <c r="H11" s="192">
        <f>'1.ยาทั่วไป'!H11+'2.ยาแพทย์ PCC'!H11+'3.ยาเรื้อรัง 20%'!H11+'4.ยาเรื้อรังฟรี'!H11</f>
        <v>0</v>
      </c>
      <c r="I11" s="192">
        <f>'1.ยาทั่วไป'!I11+'2.ยาแพทย์ PCC'!I11+'3.ยาเรื้อรัง 20%'!I11+'4.ยาเรื้อรังฟรี'!I11</f>
        <v>0</v>
      </c>
      <c r="J11" s="192">
        <f>'1.ยาทั่วไป'!J11+'2.ยาแพทย์ PCC'!J11+'3.ยาเรื้อรัง 20%'!J11+'4.ยาเรื้อรังฟรี'!J11</f>
        <v>0</v>
      </c>
      <c r="K11" s="192">
        <f>'1.ยาทั่วไป'!K11+'2.ยาแพทย์ PCC'!K11+'3.ยาเรื้อรัง 20%'!K11+'4.ยาเรื้อรังฟรี'!K11</f>
        <v>0</v>
      </c>
      <c r="L11" s="192">
        <f>'1.ยาทั่วไป'!L11+'2.ยาแพทย์ PCC'!L11+'3.ยาเรื้อรัง 20%'!L11+'4.ยาเรื้อรังฟรี'!L11</f>
        <v>0</v>
      </c>
      <c r="M11" s="192">
        <f>'1.ยาทั่วไป'!M11+'2.ยาแพทย์ PCC'!M11+'3.ยาเรื้อรัง 20%'!M11+'4.ยาเรื้อรังฟรี'!M11</f>
        <v>0</v>
      </c>
      <c r="N11" s="192">
        <f>'1.ยาทั่วไป'!N11+'2.ยาแพทย์ PCC'!N11+'3.ยาเรื้อรัง 20%'!N11+'4.ยาเรื้อรังฟรี'!N11</f>
        <v>0</v>
      </c>
      <c r="O11" s="310">
        <f t="shared" si="1"/>
        <v>42140.770000000004</v>
      </c>
      <c r="P11" s="313">
        <f t="shared" si="0"/>
        <v>2.7186495389370111E-2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20%'!C12+'4.ยาเรื้อรังฟรี'!C12</f>
        <v>32993</v>
      </c>
      <c r="D12" s="192">
        <f>'1.ยาทั่วไป'!D12+'2.ยาแพทย์ PCC'!D12+'3.ยาเรื้อรัง 20%'!D12+'4.ยาเรื้อรังฟรี'!D12</f>
        <v>34748.729999999996</v>
      </c>
      <c r="E12" s="192">
        <f>'1.ยาทั่วไป'!E12+'2.ยาแพทย์ PCC'!E12+'3.ยาเรื้อรัง 20%'!E12+'4.ยาเรื้อรังฟรี'!E12</f>
        <v>31878.97</v>
      </c>
      <c r="F12" s="192">
        <f>'1.ยาทั่วไป'!F12+'2.ยาแพทย์ PCC'!F12+'3.ยาเรื้อรัง 20%'!F12+'4.ยาเรื้อรังฟรี'!F12</f>
        <v>25768.22</v>
      </c>
      <c r="G12" s="192">
        <f>'1.ยาทั่วไป'!G12+'2.ยาแพทย์ PCC'!G12+'3.ยาเรื้อรัง 20%'!G12+'4.ยาเรื้อรังฟรี'!G12</f>
        <v>0</v>
      </c>
      <c r="H12" s="192">
        <f>'1.ยาทั่วไป'!H12+'2.ยาแพทย์ PCC'!H12+'3.ยาเรื้อรัง 20%'!H12+'4.ยาเรื้อรังฟรี'!H12</f>
        <v>0</v>
      </c>
      <c r="I12" s="192">
        <f>'1.ยาทั่วไป'!I12+'2.ยาแพทย์ PCC'!I12+'3.ยาเรื้อรัง 20%'!I12+'4.ยาเรื้อรังฟรี'!I12</f>
        <v>0</v>
      </c>
      <c r="J12" s="192">
        <f>'1.ยาทั่วไป'!J12+'2.ยาแพทย์ PCC'!J12+'3.ยาเรื้อรัง 20%'!J12+'4.ยาเรื้อรังฟรี'!J12</f>
        <v>0</v>
      </c>
      <c r="K12" s="192">
        <f>'1.ยาทั่วไป'!K12+'2.ยาแพทย์ PCC'!K12+'3.ยาเรื้อรัง 20%'!K12+'4.ยาเรื้อรังฟรี'!K12</f>
        <v>0</v>
      </c>
      <c r="L12" s="192">
        <f>'1.ยาทั่วไป'!L12+'2.ยาแพทย์ PCC'!L12+'3.ยาเรื้อรัง 20%'!L12+'4.ยาเรื้อรังฟรี'!L12</f>
        <v>0</v>
      </c>
      <c r="M12" s="192">
        <f>'1.ยาทั่วไป'!M12+'2.ยาแพทย์ PCC'!M12+'3.ยาเรื้อรัง 20%'!M12+'4.ยาเรื้อรังฟรี'!M12</f>
        <v>0</v>
      </c>
      <c r="N12" s="192">
        <f>'1.ยาทั่วไป'!N12+'2.ยาแพทย์ PCC'!N12+'3.ยาเรื้อรัง 20%'!N12+'4.ยาเรื้อรังฟรี'!N12</f>
        <v>0</v>
      </c>
      <c r="O12" s="310">
        <f t="shared" si="1"/>
        <v>125388.92</v>
      </c>
      <c r="P12" s="313">
        <f t="shared" si="0"/>
        <v>8.0892809871725105E-2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20%'!C13+'4.ยาเรื้อรังฟรี'!C13</f>
        <v>496</v>
      </c>
      <c r="D13" s="192">
        <f>'1.ยาทั่วไป'!D13+'2.ยาแพทย์ PCC'!D13+'3.ยาเรื้อรัง 20%'!D13+'4.ยาเรื้อรังฟรี'!D13</f>
        <v>26843.43</v>
      </c>
      <c r="E13" s="192">
        <f>'1.ยาทั่วไป'!E13+'2.ยาแพทย์ PCC'!E13+'3.ยาเรื้อรัง 20%'!E13+'4.ยาเรื้อรังฟรี'!E13</f>
        <v>8617.66</v>
      </c>
      <c r="F13" s="192">
        <f>'1.ยาทั่วไป'!F13+'2.ยาแพทย์ PCC'!F13+'3.ยาเรื้อรัง 20%'!F13+'4.ยาเรื้อรังฟรี'!F13</f>
        <v>2850</v>
      </c>
      <c r="G13" s="192">
        <f>'1.ยาทั่วไป'!G13+'2.ยาแพทย์ PCC'!G13+'3.ยาเรื้อรัง 20%'!G13+'4.ยาเรื้อรังฟรี'!G13</f>
        <v>0</v>
      </c>
      <c r="H13" s="192">
        <f>'1.ยาทั่วไป'!H13+'2.ยาแพทย์ PCC'!H13+'3.ยาเรื้อรัง 20%'!H13+'4.ยาเรื้อรังฟรี'!H13</f>
        <v>0</v>
      </c>
      <c r="I13" s="192">
        <f>'1.ยาทั่วไป'!I13+'2.ยาแพทย์ PCC'!I13+'3.ยาเรื้อรัง 20%'!I13+'4.ยาเรื้อรังฟรี'!I13</f>
        <v>0</v>
      </c>
      <c r="J13" s="192">
        <f>'1.ยาทั่วไป'!J13+'2.ยาแพทย์ PCC'!J13+'3.ยาเรื้อรัง 20%'!J13+'4.ยาเรื้อรังฟรี'!J13</f>
        <v>0</v>
      </c>
      <c r="K13" s="192">
        <f>'1.ยาทั่วไป'!K13+'2.ยาแพทย์ PCC'!K13+'3.ยาเรื้อรัง 20%'!K13+'4.ยาเรื้อรังฟรี'!K13</f>
        <v>0</v>
      </c>
      <c r="L13" s="192">
        <f>'1.ยาทั่วไป'!L13+'2.ยาแพทย์ PCC'!L13+'3.ยาเรื้อรัง 20%'!L13+'4.ยาเรื้อรังฟรี'!L13</f>
        <v>0</v>
      </c>
      <c r="M13" s="192">
        <f>'1.ยาทั่วไป'!M13+'2.ยาแพทย์ PCC'!M13+'3.ยาเรื้อรัง 20%'!M13+'4.ยาเรื้อรังฟรี'!M13</f>
        <v>0</v>
      </c>
      <c r="N13" s="192">
        <f>'1.ยาทั่วไป'!N13+'2.ยาแพทย์ PCC'!N13+'3.ยาเรื้อรัง 20%'!N13+'4.ยาเรื้อรังฟรี'!N13</f>
        <v>0</v>
      </c>
      <c r="O13" s="310">
        <f t="shared" si="1"/>
        <v>38807.089999999997</v>
      </c>
      <c r="P13" s="313">
        <f t="shared" si="0"/>
        <v>2.5035820972418653E-2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20%'!C14+'4.ยาเรื้อรังฟรี'!C14</f>
        <v>0</v>
      </c>
      <c r="D14" s="192">
        <f>'1.ยาทั่วไป'!D14+'2.ยาแพทย์ PCC'!D14+'3.ยาเรื้อรัง 20%'!D14+'4.ยาเรื้อรังฟรี'!D14</f>
        <v>27858.489999999998</v>
      </c>
      <c r="E14" s="192">
        <f>'1.ยาทั่วไป'!E14+'2.ยาแพทย์ PCC'!E14+'3.ยาเรื้อรัง 20%'!E14+'4.ยาเรื้อรังฟรี'!E14</f>
        <v>13737.43</v>
      </c>
      <c r="F14" s="192">
        <f>'1.ยาทั่วไป'!F14+'2.ยาแพทย์ PCC'!F14+'3.ยาเรื้อรัง 20%'!F14+'4.ยาเรื้อรังฟรี'!F14</f>
        <v>7410.25</v>
      </c>
      <c r="G14" s="192">
        <f>'1.ยาทั่วไป'!G14+'2.ยาแพทย์ PCC'!G14+'3.ยาเรื้อรัง 20%'!G14+'4.ยาเรื้อรังฟรี'!G14</f>
        <v>0</v>
      </c>
      <c r="H14" s="192">
        <f>'1.ยาทั่วไป'!H14+'2.ยาแพทย์ PCC'!H14+'3.ยาเรื้อรัง 20%'!H14+'4.ยาเรื้อรังฟรี'!H14</f>
        <v>0</v>
      </c>
      <c r="I14" s="192">
        <f>'1.ยาทั่วไป'!I14+'2.ยาแพทย์ PCC'!I14+'3.ยาเรื้อรัง 20%'!I14+'4.ยาเรื้อรังฟรี'!I14</f>
        <v>0</v>
      </c>
      <c r="J14" s="192">
        <f>'1.ยาทั่วไป'!J14+'2.ยาแพทย์ PCC'!J14+'3.ยาเรื้อรัง 20%'!J14+'4.ยาเรื้อรังฟรี'!J14</f>
        <v>0</v>
      </c>
      <c r="K14" s="192">
        <f>'1.ยาทั่วไป'!K14+'2.ยาแพทย์ PCC'!K14+'3.ยาเรื้อรัง 20%'!K14+'4.ยาเรื้อรังฟรี'!K14</f>
        <v>0</v>
      </c>
      <c r="L14" s="192">
        <f>'1.ยาทั่วไป'!L14+'2.ยาแพทย์ PCC'!L14+'3.ยาเรื้อรัง 20%'!L14+'4.ยาเรื้อรังฟรี'!L14</f>
        <v>0</v>
      </c>
      <c r="M14" s="192">
        <f>'1.ยาทั่วไป'!M14+'2.ยาแพทย์ PCC'!M14+'3.ยาเรื้อรัง 20%'!M14+'4.ยาเรื้อรังฟรี'!M14</f>
        <v>0</v>
      </c>
      <c r="N14" s="192">
        <f>'1.ยาทั่วไป'!N14+'2.ยาแพทย์ PCC'!N14+'3.ยาเรื้อรัง 20%'!N14+'4.ยาเรื้อรังฟรี'!N14</f>
        <v>0</v>
      </c>
      <c r="O14" s="310">
        <f t="shared" si="1"/>
        <v>49006.17</v>
      </c>
      <c r="P14" s="313">
        <f t="shared" si="0"/>
        <v>3.1615606804424497E-2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20%'!C15+'4.ยาเรื้อรังฟรี'!C15</f>
        <v>18008.09</v>
      </c>
      <c r="D15" s="192">
        <f>'1.ยาทั่วไป'!D15+'2.ยาแพทย์ PCC'!D15+'3.ยาเรื้อรัง 20%'!D15+'4.ยาเรื้อรังฟรี'!D15</f>
        <v>9449.98</v>
      </c>
      <c r="E15" s="192">
        <f>'1.ยาทั่วไป'!E15+'2.ยาแพทย์ PCC'!E15+'3.ยาเรื้อรัง 20%'!E15+'4.ยาเรื้อรังฟรี'!E15</f>
        <v>35705.15</v>
      </c>
      <c r="F15" s="192">
        <f>'1.ยาทั่วไป'!F15+'2.ยาแพทย์ PCC'!F15+'3.ยาเรื้อรัง 20%'!F15+'4.ยาเรื้อรังฟรี'!F15</f>
        <v>9825.92</v>
      </c>
      <c r="G15" s="192">
        <f>'1.ยาทั่วไป'!G15+'2.ยาแพทย์ PCC'!G15+'3.ยาเรื้อรัง 20%'!G15+'4.ยาเรื้อรังฟรี'!G15</f>
        <v>0</v>
      </c>
      <c r="H15" s="192">
        <f>'1.ยาทั่วไป'!H15+'2.ยาแพทย์ PCC'!H15+'3.ยาเรื้อรัง 20%'!H15+'4.ยาเรื้อรังฟรี'!H15</f>
        <v>0</v>
      </c>
      <c r="I15" s="192">
        <f>'1.ยาทั่วไป'!I15+'2.ยาแพทย์ PCC'!I15+'3.ยาเรื้อรัง 20%'!I15+'4.ยาเรื้อรังฟรี'!I15</f>
        <v>0</v>
      </c>
      <c r="J15" s="192">
        <f>'1.ยาทั่วไป'!J15+'2.ยาแพทย์ PCC'!J15+'3.ยาเรื้อรัง 20%'!J15+'4.ยาเรื้อรังฟรี'!J15</f>
        <v>0</v>
      </c>
      <c r="K15" s="192">
        <f>'1.ยาทั่วไป'!K15+'2.ยาแพทย์ PCC'!K15+'3.ยาเรื้อรัง 20%'!K15+'4.ยาเรื้อรังฟรี'!K15</f>
        <v>0</v>
      </c>
      <c r="L15" s="192">
        <f>'1.ยาทั่วไป'!L15+'2.ยาแพทย์ PCC'!L15+'3.ยาเรื้อรัง 20%'!L15+'4.ยาเรื้อรังฟรี'!L15</f>
        <v>0</v>
      </c>
      <c r="M15" s="192">
        <f>'1.ยาทั่วไป'!M15+'2.ยาแพทย์ PCC'!M15+'3.ยาเรื้อรัง 20%'!M15+'4.ยาเรื้อรังฟรี'!M15</f>
        <v>0</v>
      </c>
      <c r="N15" s="192">
        <f>'1.ยาทั่วไป'!N15+'2.ยาแพทย์ PCC'!N15+'3.ยาเรื้อรัง 20%'!N15+'4.ยาเรื้อรังฟรี'!N15</f>
        <v>0</v>
      </c>
      <c r="O15" s="310">
        <f t="shared" si="1"/>
        <v>72989.14</v>
      </c>
      <c r="P15" s="313">
        <f t="shared" si="0"/>
        <v>4.7087865695954044E-2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20%'!C16+'4.ยาเรื้อรังฟรี'!C16</f>
        <v>11294.54</v>
      </c>
      <c r="D16" s="192">
        <f>'1.ยาทั่วไป'!D16+'2.ยาแพทย์ PCC'!D16+'3.ยาเรื้อรัง 20%'!D16+'4.ยาเรื้อรังฟรี'!D16</f>
        <v>9350.89</v>
      </c>
      <c r="E16" s="192">
        <f>'1.ยาทั่วไป'!E16+'2.ยาแพทย์ PCC'!E16+'3.ยาเรื้อรัง 20%'!E16+'4.ยาเรื้อรังฟรี'!E16</f>
        <v>7911</v>
      </c>
      <c r="F16" s="192">
        <f>'1.ยาทั่วไป'!F16+'2.ยาแพทย์ PCC'!F16+'3.ยาเรื้อรัง 20%'!F16+'4.ยาเรื้อรังฟรี'!F16</f>
        <v>9539</v>
      </c>
      <c r="G16" s="192">
        <f>'1.ยาทั่วไป'!G16+'2.ยาแพทย์ PCC'!G16+'3.ยาเรื้อรัง 20%'!G16+'4.ยาเรื้อรังฟรี'!G16</f>
        <v>0</v>
      </c>
      <c r="H16" s="192">
        <f>'1.ยาทั่วไป'!H16+'2.ยาแพทย์ PCC'!H16+'3.ยาเรื้อรัง 20%'!H16+'4.ยาเรื้อรังฟรี'!H16</f>
        <v>0</v>
      </c>
      <c r="I16" s="192">
        <f>'1.ยาทั่วไป'!I16+'2.ยาแพทย์ PCC'!I16+'3.ยาเรื้อรัง 20%'!I16+'4.ยาเรื้อรังฟรี'!I16</f>
        <v>0</v>
      </c>
      <c r="J16" s="192">
        <f>'1.ยาทั่วไป'!J16+'2.ยาแพทย์ PCC'!J16+'3.ยาเรื้อรัง 20%'!J16+'4.ยาเรื้อรังฟรี'!J16</f>
        <v>0</v>
      </c>
      <c r="K16" s="192">
        <f>'1.ยาทั่วไป'!K16+'2.ยาแพทย์ PCC'!K16+'3.ยาเรื้อรัง 20%'!K16+'4.ยาเรื้อรังฟรี'!K16</f>
        <v>0</v>
      </c>
      <c r="L16" s="192">
        <f>'1.ยาทั่วไป'!L16+'2.ยาแพทย์ PCC'!L16+'3.ยาเรื้อรัง 20%'!L16+'4.ยาเรื้อรังฟรี'!L16</f>
        <v>0</v>
      </c>
      <c r="M16" s="192">
        <f>'1.ยาทั่วไป'!M16+'2.ยาแพทย์ PCC'!M16+'3.ยาเรื้อรัง 20%'!M16+'4.ยาเรื้อรังฟรี'!M16</f>
        <v>0</v>
      </c>
      <c r="N16" s="192">
        <f>'1.ยาทั่วไป'!N16+'2.ยาแพทย์ PCC'!N16+'3.ยาเรื้อรัง 20%'!N16+'4.ยาเรื้อรังฟรี'!N16</f>
        <v>0</v>
      </c>
      <c r="O16" s="310">
        <f t="shared" si="1"/>
        <v>38095.43</v>
      </c>
      <c r="P16" s="313">
        <f t="shared" si="0"/>
        <v>2.4576704033909959E-2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20%'!C17+'4.ยาเรื้อรังฟรี'!C17</f>
        <v>14508.24</v>
      </c>
      <c r="D17" s="192">
        <f>'1.ยาทั่วไป'!D17+'2.ยาแพทย์ PCC'!D17+'3.ยาเรื้อรัง 20%'!D17+'4.ยาเรื้อรังฟรี'!D17</f>
        <v>14373.650000000001</v>
      </c>
      <c r="E17" s="192">
        <f>'1.ยาทั่วไป'!E17+'2.ยาแพทย์ PCC'!E17+'3.ยาเรื้อรัง 20%'!E17+'4.ยาเรื้อรังฟรี'!E17</f>
        <v>8327.02</v>
      </c>
      <c r="F17" s="192">
        <f>'1.ยาทั่วไป'!F17+'2.ยาแพทย์ PCC'!F17+'3.ยาเรื้อรัง 20%'!F17+'4.ยาเรื้อรังฟรี'!F17</f>
        <v>14331.05</v>
      </c>
      <c r="G17" s="192">
        <f>'1.ยาทั่วไป'!G17+'2.ยาแพทย์ PCC'!G17+'3.ยาเรื้อรัง 20%'!G17+'4.ยาเรื้อรังฟรี'!G17</f>
        <v>0</v>
      </c>
      <c r="H17" s="192">
        <f>'1.ยาทั่วไป'!H17+'2.ยาแพทย์ PCC'!H17+'3.ยาเรื้อรัง 20%'!H17+'4.ยาเรื้อรังฟรี'!H17</f>
        <v>0</v>
      </c>
      <c r="I17" s="192">
        <f>'1.ยาทั่วไป'!I17+'2.ยาแพทย์ PCC'!I17+'3.ยาเรื้อรัง 20%'!I17+'4.ยาเรื้อรังฟรี'!I17</f>
        <v>0</v>
      </c>
      <c r="J17" s="192">
        <f>'1.ยาทั่วไป'!J17+'2.ยาแพทย์ PCC'!J17+'3.ยาเรื้อรัง 20%'!J17+'4.ยาเรื้อรังฟรี'!J17</f>
        <v>0</v>
      </c>
      <c r="K17" s="192">
        <f>'1.ยาทั่วไป'!K17+'2.ยาแพทย์ PCC'!K17+'3.ยาเรื้อรัง 20%'!K17+'4.ยาเรื้อรังฟรี'!K17</f>
        <v>0</v>
      </c>
      <c r="L17" s="192">
        <f>'1.ยาทั่วไป'!L17+'2.ยาแพทย์ PCC'!L17+'3.ยาเรื้อรัง 20%'!L17+'4.ยาเรื้อรังฟรี'!L17</f>
        <v>0</v>
      </c>
      <c r="M17" s="192">
        <f>'1.ยาทั่วไป'!M17+'2.ยาแพทย์ PCC'!M17+'3.ยาเรื้อรัง 20%'!M17+'4.ยาเรื้อรังฟรี'!M17</f>
        <v>0</v>
      </c>
      <c r="N17" s="192">
        <f>'1.ยาทั่วไป'!N17+'2.ยาแพทย์ PCC'!N17+'3.ยาเรื้อรัง 20%'!N17+'4.ยาเรื้อรังฟรี'!N17</f>
        <v>0</v>
      </c>
      <c r="O17" s="310">
        <f t="shared" si="1"/>
        <v>51539.960000000006</v>
      </c>
      <c r="P17" s="313">
        <f t="shared" si="0"/>
        <v>3.325024400143424E-2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20%'!C18+'4.ยาเรื้อรังฟรี'!C18</f>
        <v>11387.16</v>
      </c>
      <c r="D18" s="192">
        <f>'1.ยาทั่วไป'!D18+'2.ยาแพทย์ PCC'!D18+'3.ยาเรื้อรัง 20%'!D18+'4.ยาเรื้อรังฟรี'!D18</f>
        <v>6043.19</v>
      </c>
      <c r="E18" s="192">
        <f>'1.ยาทั่วไป'!E18+'2.ยาแพทย์ PCC'!E18+'3.ยาเรื้อรัง 20%'!E18+'4.ยาเรื้อรังฟรี'!E18</f>
        <v>5904.66</v>
      </c>
      <c r="F18" s="192">
        <f>'1.ยาทั่วไป'!F18+'2.ยาแพทย์ PCC'!F18+'3.ยาเรื้อรัง 20%'!F18+'4.ยาเรื้อรังฟรี'!F18</f>
        <v>4928.6499999999996</v>
      </c>
      <c r="G18" s="192">
        <f>'1.ยาทั่วไป'!G18+'2.ยาแพทย์ PCC'!G18+'3.ยาเรื้อรัง 20%'!G18+'4.ยาเรื้อรังฟรี'!G18</f>
        <v>0</v>
      </c>
      <c r="H18" s="192">
        <f>'1.ยาทั่วไป'!H18+'2.ยาแพทย์ PCC'!H18+'3.ยาเรื้อรัง 20%'!H18+'4.ยาเรื้อรังฟรี'!H18</f>
        <v>0</v>
      </c>
      <c r="I18" s="192">
        <f>'1.ยาทั่วไป'!I18+'2.ยาแพทย์ PCC'!I18+'3.ยาเรื้อรัง 20%'!I18+'4.ยาเรื้อรังฟรี'!I18</f>
        <v>0</v>
      </c>
      <c r="J18" s="192">
        <f>'1.ยาทั่วไป'!J18+'2.ยาแพทย์ PCC'!J18+'3.ยาเรื้อรัง 20%'!J18+'4.ยาเรื้อรังฟรี'!J18</f>
        <v>0</v>
      </c>
      <c r="K18" s="192">
        <f>'1.ยาทั่วไป'!K18+'2.ยาแพทย์ PCC'!K18+'3.ยาเรื้อรัง 20%'!K18+'4.ยาเรื้อรังฟรี'!K18</f>
        <v>0</v>
      </c>
      <c r="L18" s="192">
        <f>'1.ยาทั่วไป'!L18+'2.ยาแพทย์ PCC'!L18+'3.ยาเรื้อรัง 20%'!L18+'4.ยาเรื้อรังฟรี'!L18</f>
        <v>0</v>
      </c>
      <c r="M18" s="192">
        <f>'1.ยาทั่วไป'!M18+'2.ยาแพทย์ PCC'!M18+'3.ยาเรื้อรัง 20%'!M18+'4.ยาเรื้อรังฟรี'!M18</f>
        <v>0</v>
      </c>
      <c r="N18" s="192">
        <f>'1.ยาทั่วไป'!N18+'2.ยาแพทย์ PCC'!N18+'3.ยาเรื้อรัง 20%'!N18+'4.ยาเรื้อรังฟรี'!N18</f>
        <v>0</v>
      </c>
      <c r="O18" s="310">
        <f t="shared" si="1"/>
        <v>28263.659999999996</v>
      </c>
      <c r="P18" s="313">
        <f t="shared" si="0"/>
        <v>1.8233882823610586E-2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20%'!C19+'4.ยาเรื้อรังฟรี'!C19</f>
        <v>53743.519999999997</v>
      </c>
      <c r="D19" s="192">
        <f>'1.ยาทั่วไป'!D19+'2.ยาแพทย์ PCC'!D19+'3.ยาเรื้อรัง 20%'!D19+'4.ยาเรื้อรังฟรี'!D19</f>
        <v>25808.71</v>
      </c>
      <c r="E19" s="192">
        <f>'1.ยาทั่วไป'!E19+'2.ยาแพทย์ PCC'!E19+'3.ยาเรื้อรัง 20%'!E19+'4.ยาเรื้อรังฟรี'!E19</f>
        <v>14813.64</v>
      </c>
      <c r="F19" s="192">
        <f>'1.ยาทั่วไป'!F19+'2.ยาแพทย์ PCC'!F19+'3.ยาเรื้อรัง 20%'!F19+'4.ยาเรื้อรังฟรี'!F19</f>
        <v>15568</v>
      </c>
      <c r="G19" s="192">
        <f>'1.ยาทั่วไป'!G19+'2.ยาแพทย์ PCC'!G19+'3.ยาเรื้อรัง 20%'!G19+'4.ยาเรื้อรังฟรี'!G19</f>
        <v>0</v>
      </c>
      <c r="H19" s="192">
        <f>'1.ยาทั่วไป'!H19+'2.ยาแพทย์ PCC'!H19+'3.ยาเรื้อรัง 20%'!H19+'4.ยาเรื้อรังฟรี'!H19</f>
        <v>0</v>
      </c>
      <c r="I19" s="192">
        <f>'1.ยาทั่วไป'!I19+'2.ยาแพทย์ PCC'!I19+'3.ยาเรื้อรัง 20%'!I19+'4.ยาเรื้อรังฟรี'!I19</f>
        <v>0</v>
      </c>
      <c r="J19" s="192">
        <f>'1.ยาทั่วไป'!J19+'2.ยาแพทย์ PCC'!J19+'3.ยาเรื้อรัง 20%'!J19+'4.ยาเรื้อรังฟรี'!J19</f>
        <v>0</v>
      </c>
      <c r="K19" s="192">
        <f>'1.ยาทั่วไป'!K19+'2.ยาแพทย์ PCC'!K19+'3.ยาเรื้อรัง 20%'!K19+'4.ยาเรื้อรังฟรี'!K19</f>
        <v>0</v>
      </c>
      <c r="L19" s="192">
        <f>'1.ยาทั่วไป'!L19+'2.ยาแพทย์ PCC'!L19+'3.ยาเรื้อรัง 20%'!L19+'4.ยาเรื้อรังฟรี'!L19</f>
        <v>0</v>
      </c>
      <c r="M19" s="192">
        <f>'1.ยาทั่วไป'!M19+'2.ยาแพทย์ PCC'!M19+'3.ยาเรื้อรัง 20%'!M19+'4.ยาเรื้อรังฟรี'!M19</f>
        <v>0</v>
      </c>
      <c r="N19" s="192">
        <f>'1.ยาทั่วไป'!N19+'2.ยาแพทย์ PCC'!N19+'3.ยาเรื้อรัง 20%'!N19+'4.ยาเรื้อรังฟรี'!N19</f>
        <v>0</v>
      </c>
      <c r="O19" s="310">
        <f t="shared" si="1"/>
        <v>109933.87</v>
      </c>
      <c r="P19" s="313">
        <f t="shared" si="0"/>
        <v>7.0922212619527664E-2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20%'!C20+'4.ยาเรื้อรังฟรี'!C20</f>
        <v>0</v>
      </c>
      <c r="D20" s="192">
        <f>'1.ยาทั่วไป'!D20+'2.ยาแพทย์ PCC'!D20+'3.ยาเรื้อรัง 20%'!D20+'4.ยาเรื้อรังฟรี'!D20</f>
        <v>31733.489999999998</v>
      </c>
      <c r="E20" s="192">
        <f>'1.ยาทั่วไป'!E20+'2.ยาแพทย์ PCC'!E20+'3.ยาเรื้อรัง 20%'!E20+'4.ยาเรื้อรังฟรี'!E20</f>
        <v>10720.05</v>
      </c>
      <c r="F20" s="192">
        <f>'1.ยาทั่วไป'!F20+'2.ยาแพทย์ PCC'!F20+'3.ยาเรื้อรัง 20%'!F20+'4.ยาเรื้อรังฟรี'!F20</f>
        <v>5297.5</v>
      </c>
      <c r="G20" s="192">
        <f>'1.ยาทั่วไป'!G20+'2.ยาแพทย์ PCC'!G20+'3.ยาเรื้อรัง 20%'!G20+'4.ยาเรื้อรังฟรี'!G20</f>
        <v>0</v>
      </c>
      <c r="H20" s="192">
        <f>'1.ยาทั่วไป'!H20+'2.ยาแพทย์ PCC'!H20+'3.ยาเรื้อรัง 20%'!H20+'4.ยาเรื้อรังฟรี'!H20</f>
        <v>0</v>
      </c>
      <c r="I20" s="192">
        <f>'1.ยาทั่วไป'!I20+'2.ยาแพทย์ PCC'!I20+'3.ยาเรื้อรัง 20%'!I20+'4.ยาเรื้อรังฟรี'!I20</f>
        <v>0</v>
      </c>
      <c r="J20" s="192">
        <f>'1.ยาทั่วไป'!J20+'2.ยาแพทย์ PCC'!J20+'3.ยาเรื้อรัง 20%'!J20+'4.ยาเรื้อรังฟรี'!J20</f>
        <v>0</v>
      </c>
      <c r="K20" s="192">
        <f>'1.ยาทั่วไป'!K20+'2.ยาแพทย์ PCC'!K20+'3.ยาเรื้อรัง 20%'!K20+'4.ยาเรื้อรังฟรี'!K20</f>
        <v>0</v>
      </c>
      <c r="L20" s="192">
        <f>'1.ยาทั่วไป'!L20+'2.ยาแพทย์ PCC'!L20+'3.ยาเรื้อรัง 20%'!L20+'4.ยาเรื้อรังฟรี'!L20</f>
        <v>0</v>
      </c>
      <c r="M20" s="192">
        <f>'1.ยาทั่วไป'!M20+'2.ยาแพทย์ PCC'!M20+'3.ยาเรื้อรัง 20%'!M20+'4.ยาเรื้อรังฟรี'!M20</f>
        <v>0</v>
      </c>
      <c r="N20" s="192">
        <f>'1.ยาทั่วไป'!N20+'2.ยาแพทย์ PCC'!N20+'3.ยาเรื้อรัง 20%'!N20+'4.ยาเรื้อรังฟรี'!N20</f>
        <v>0</v>
      </c>
      <c r="O20" s="310">
        <f t="shared" si="1"/>
        <v>47751.039999999994</v>
      </c>
      <c r="P20" s="313">
        <f t="shared" si="0"/>
        <v>3.0805878221912591E-2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20%'!C21+'4.ยาเรื้อรังฟรี'!C21</f>
        <v>24049.58</v>
      </c>
      <c r="D21" s="192">
        <f>'1.ยาทั่วไป'!D21+'2.ยาแพทย์ PCC'!D21+'3.ยาเรื้อรัง 20%'!D21+'4.ยาเรื้อรังฟรี'!D21</f>
        <v>18763.379999999997</v>
      </c>
      <c r="E21" s="192">
        <f>'1.ยาทั่วไป'!E21+'2.ยาแพทย์ PCC'!E21+'3.ยาเรื้อรัง 20%'!E21+'4.ยาเรื้อรังฟรี'!E21</f>
        <v>14589.5</v>
      </c>
      <c r="F21" s="192">
        <f>'1.ยาทั่วไป'!F21+'2.ยาแพทย์ PCC'!F21+'3.ยาเรื้อรัง 20%'!F21+'4.ยาเรื้อรังฟรี'!F21</f>
        <v>17448.86</v>
      </c>
      <c r="G21" s="192">
        <f>'1.ยาทั่วไป'!G21+'2.ยาแพทย์ PCC'!G21+'3.ยาเรื้อรัง 20%'!G21+'4.ยาเรื้อรังฟรี'!G21</f>
        <v>0</v>
      </c>
      <c r="H21" s="192">
        <f>'1.ยาทั่วไป'!H21+'2.ยาแพทย์ PCC'!H21+'3.ยาเรื้อรัง 20%'!H21+'4.ยาเรื้อรังฟรี'!H21</f>
        <v>0</v>
      </c>
      <c r="I21" s="192">
        <f>'1.ยาทั่วไป'!I21+'2.ยาแพทย์ PCC'!I21+'3.ยาเรื้อรัง 20%'!I21+'4.ยาเรื้อรังฟรี'!I21</f>
        <v>0</v>
      </c>
      <c r="J21" s="192">
        <f>'1.ยาทั่วไป'!J21+'2.ยาแพทย์ PCC'!J21+'3.ยาเรื้อรัง 20%'!J21+'4.ยาเรื้อรังฟรี'!J21</f>
        <v>0</v>
      </c>
      <c r="K21" s="192">
        <f>'1.ยาทั่วไป'!K21+'2.ยาแพทย์ PCC'!K21+'3.ยาเรื้อรัง 20%'!K21+'4.ยาเรื้อรังฟรี'!K21</f>
        <v>0</v>
      </c>
      <c r="L21" s="192">
        <f>'1.ยาทั่วไป'!L21+'2.ยาแพทย์ PCC'!L21+'3.ยาเรื้อรัง 20%'!L21+'4.ยาเรื้อรังฟรี'!L21</f>
        <v>0</v>
      </c>
      <c r="M21" s="192">
        <f>'1.ยาทั่วไป'!M21+'2.ยาแพทย์ PCC'!M21+'3.ยาเรื้อรัง 20%'!M21+'4.ยาเรื้อรังฟรี'!M21</f>
        <v>0</v>
      </c>
      <c r="N21" s="192">
        <f>'1.ยาทั่วไป'!N21+'2.ยาแพทย์ PCC'!N21+'3.ยาเรื้อรัง 20%'!N21+'4.ยาเรื้อรังฟรี'!N21</f>
        <v>0</v>
      </c>
      <c r="O21" s="310">
        <f t="shared" si="1"/>
        <v>74851.320000000007</v>
      </c>
      <c r="P21" s="313">
        <f t="shared" si="0"/>
        <v>4.8289223620457497E-2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20%'!C22+'4.ยาเรื้อรังฟรี'!C22</f>
        <v>7582.1</v>
      </c>
      <c r="D22" s="192">
        <f>'1.ยาทั่วไป'!D22+'2.ยาแพทย์ PCC'!D22+'3.ยาเรื้อรัง 20%'!D22+'4.ยาเรื้อรังฟรี'!D22</f>
        <v>26616.32</v>
      </c>
      <c r="E22" s="192">
        <f>'1.ยาทั่วไป'!E22+'2.ยาแพทย์ PCC'!E22+'3.ยาเรื้อรัง 20%'!E22+'4.ยาเรื้อรังฟรี'!E22</f>
        <v>0</v>
      </c>
      <c r="F22" s="192">
        <f>'1.ยาทั่วไป'!F22+'2.ยาแพทย์ PCC'!F22+'3.ยาเรื้อรัง 20%'!F22+'4.ยาเรื้อรังฟรี'!F22</f>
        <v>6846.25</v>
      </c>
      <c r="G22" s="192">
        <f>'1.ยาทั่วไป'!G22+'2.ยาแพทย์ PCC'!G22+'3.ยาเรื้อรัง 20%'!G22+'4.ยาเรื้อรังฟรี'!G22</f>
        <v>0</v>
      </c>
      <c r="H22" s="192">
        <f>'1.ยาทั่วไป'!H22+'2.ยาแพทย์ PCC'!H22+'3.ยาเรื้อรัง 20%'!H22+'4.ยาเรื้อรังฟรี'!H22</f>
        <v>0</v>
      </c>
      <c r="I22" s="192">
        <f>'1.ยาทั่วไป'!I22+'2.ยาแพทย์ PCC'!I22+'3.ยาเรื้อรัง 20%'!I22+'4.ยาเรื้อรังฟรี'!I22</f>
        <v>0</v>
      </c>
      <c r="J22" s="192">
        <f>'1.ยาทั่วไป'!J22+'2.ยาแพทย์ PCC'!J22+'3.ยาเรื้อรัง 20%'!J22+'4.ยาเรื้อรังฟรี'!J22</f>
        <v>0</v>
      </c>
      <c r="K22" s="192">
        <f>'1.ยาทั่วไป'!K22+'2.ยาแพทย์ PCC'!K22+'3.ยาเรื้อรัง 20%'!K22+'4.ยาเรื้อรังฟรี'!K22</f>
        <v>0</v>
      </c>
      <c r="L22" s="192">
        <f>'1.ยาทั่วไป'!L22+'2.ยาแพทย์ PCC'!L22+'3.ยาเรื้อรัง 20%'!L22+'4.ยาเรื้อรังฟรี'!L22</f>
        <v>0</v>
      </c>
      <c r="M22" s="192">
        <f>'1.ยาทั่วไป'!M22+'2.ยาแพทย์ PCC'!M22+'3.ยาเรื้อรัง 20%'!M22+'4.ยาเรื้อรังฟรี'!M22</f>
        <v>0</v>
      </c>
      <c r="N22" s="192">
        <f>'1.ยาทั่วไป'!N22+'2.ยาแพทย์ PCC'!N22+'3.ยาเรื้อรัง 20%'!N22+'4.ยาเรื้อรังฟรี'!N22</f>
        <v>0</v>
      </c>
      <c r="O22" s="310">
        <f t="shared" si="1"/>
        <v>41044.67</v>
      </c>
      <c r="P22" s="313">
        <f t="shared" si="0"/>
        <v>2.647936266264754E-2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355043.06</v>
      </c>
      <c r="D23" s="194">
        <f t="shared" ref="D23:N23" si="2">SUM(D5:D22)</f>
        <v>483447.83</v>
      </c>
      <c r="E23" s="194">
        <f t="shared" si="2"/>
        <v>410940.14</v>
      </c>
      <c r="F23" s="194">
        <f t="shared" si="2"/>
        <v>300631.58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1550062.61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23408.81</v>
      </c>
      <c r="D24" s="192">
        <f>'1.ยาทั่วไป'!D24</f>
        <v>15855.72</v>
      </c>
      <c r="E24" s="192">
        <f>'1.ยาทั่วไป'!E24</f>
        <v>85987.41</v>
      </c>
      <c r="F24" s="192">
        <f>'1.ยาทั่วไป'!F24</f>
        <v>57549.58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182801.52000000002</v>
      </c>
      <c r="P24" s="313">
        <f t="shared" si="0"/>
        <v>0.11793170083626493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23408.81</v>
      </c>
      <c r="D26" s="195">
        <f t="shared" ref="D26:N26" si="4">SUM(D24:D25)</f>
        <v>15855.72</v>
      </c>
      <c r="E26" s="195">
        <f t="shared" si="4"/>
        <v>85987.41</v>
      </c>
      <c r="F26" s="195">
        <f t="shared" si="4"/>
        <v>57549.58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182801.52000000002</v>
      </c>
      <c r="P26" s="318">
        <f t="shared" si="0"/>
        <v>0.11793170083626493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378451.87</v>
      </c>
      <c r="D27" s="204">
        <f t="shared" ref="D27:M27" si="5">D23+D26</f>
        <v>499303.55</v>
      </c>
      <c r="E27" s="204">
        <f t="shared" si="5"/>
        <v>496927.55000000005</v>
      </c>
      <c r="F27" s="204">
        <f t="shared" si="5"/>
        <v>358181.16000000003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1732864.13</v>
      </c>
      <c r="P27" s="319">
        <f t="shared" si="0"/>
        <v>1.1179317008362648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2563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26/1/64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87156.71</v>
      </c>
      <c r="D5" s="201">
        <f>'1.1รวมยาทั้งหมด(1+2+3+4)'!D5+'5.vaccine'!D5</f>
        <v>79143.850000000006</v>
      </c>
      <c r="E5" s="201">
        <f>'1.1รวมยาทั้งหมด(1+2+3+4)'!E5+'5.vaccine'!E5</f>
        <v>94860.92</v>
      </c>
      <c r="F5" s="201">
        <f>'1.1รวมยาทั้งหมด(1+2+3+4)'!F5+'5.vaccine'!F5</f>
        <v>103064.03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364225.51</v>
      </c>
      <c r="P5" s="324">
        <f t="shared" ref="P5:P27" si="0">O5/$O$23</f>
        <v>0.18084567335307716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50466.950000000004</v>
      </c>
      <c r="D6" s="201">
        <f>'1.1รวมยาทั้งหมด(1+2+3+4)'!D6+'5.vaccine'!D6</f>
        <v>43964.57</v>
      </c>
      <c r="E6" s="201">
        <f>'1.1รวมยาทั้งหมด(1+2+3+4)'!E6+'5.vaccine'!E6</f>
        <v>60329.79</v>
      </c>
      <c r="F6" s="201">
        <f>'1.1รวมยาทั้งหมด(1+2+3+4)'!F6+'5.vaccine'!F6</f>
        <v>34700.65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189461.96</v>
      </c>
      <c r="P6" s="324">
        <f t="shared" si="0"/>
        <v>9.407187248085333E-2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34721.040000000001</v>
      </c>
      <c r="D7" s="201">
        <f>'1.1รวมยาทั้งหมด(1+2+3+4)'!D7+'5.vaccine'!D7</f>
        <v>28065.71</v>
      </c>
      <c r="E7" s="201">
        <f>'1.1รวมยาทั้งหมด(1+2+3+4)'!E7+'5.vaccine'!E7</f>
        <v>19245.55</v>
      </c>
      <c r="F7" s="201">
        <f>'1.1รวมยาทั้งหมด(1+2+3+4)'!F7+'5.vaccine'!F7</f>
        <v>22919.489999999998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104951.79000000001</v>
      </c>
      <c r="P7" s="324">
        <f t="shared" si="0"/>
        <v>5.2110784695340945E-2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19099.189999999999</v>
      </c>
      <c r="D8" s="201">
        <f>'1.1รวมยาทั้งหมด(1+2+3+4)'!D8+'5.vaccine'!D8</f>
        <v>70490.94</v>
      </c>
      <c r="E8" s="201">
        <f>'1.1รวมยาทั้งหมด(1+2+3+4)'!E8+'5.vaccine'!E8</f>
        <v>85319.46</v>
      </c>
      <c r="F8" s="201">
        <f>'1.1รวมยาทั้งหมด(1+2+3+4)'!F8+'5.vaccine'!F8</f>
        <v>26459.45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201369.04000000004</v>
      </c>
      <c r="P8" s="324">
        <f t="shared" si="0"/>
        <v>9.998398967514037E-2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14021.14</v>
      </c>
      <c r="D9" s="201">
        <f>'1.1รวมยาทั้งหมด(1+2+3+4)'!D9+'5.vaccine'!D9</f>
        <v>29934.799999999996</v>
      </c>
      <c r="E9" s="201">
        <f>'1.1รวมยาทั้งหมด(1+2+3+4)'!E9+'5.vaccine'!E9</f>
        <v>35218.76</v>
      </c>
      <c r="F9" s="201">
        <f>'1.1รวมยาทั้งหมด(1+2+3+4)'!F9+'5.vaccine'!F9</f>
        <v>19703.5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98878.2</v>
      </c>
      <c r="P9" s="324">
        <f t="shared" si="0"/>
        <v>4.9095118732733006E-2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16721.28</v>
      </c>
      <c r="D10" s="201">
        <f>'1.1รวมยาทั้งหมด(1+2+3+4)'!D10+'5.vaccine'!D10</f>
        <v>37036.74</v>
      </c>
      <c r="E10" s="201">
        <f>'1.1รวมยาทั้งหมด(1+2+3+4)'!E10+'5.vaccine'!E10</f>
        <v>13223.69</v>
      </c>
      <c r="F10" s="201">
        <f>'1.1รวมยาทั้งหมด(1+2+3+4)'!F10+'5.vaccine'!F10</f>
        <v>11656.91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78638.62</v>
      </c>
      <c r="P10" s="324">
        <f t="shared" si="0"/>
        <v>3.9045738958418258E-2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9455.91</v>
      </c>
      <c r="D11" s="201">
        <f>'1.1รวมยาทั้งหมด(1+2+3+4)'!D11+'5.vaccine'!D11</f>
        <v>19687.43</v>
      </c>
      <c r="E11" s="201">
        <f>'1.1รวมยาทั้งหมด(1+2+3+4)'!E11+'5.vaccine'!E11</f>
        <v>15386.79</v>
      </c>
      <c r="F11" s="201">
        <f>'1.1รวมยาทั้งหมด(1+2+3+4)'!F11+'5.vaccine'!F11</f>
        <v>16694.800000000003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61224.930000000008</v>
      </c>
      <c r="P11" s="324">
        <f t="shared" si="0"/>
        <v>3.0399473369795035E-2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44752.95</v>
      </c>
      <c r="D12" s="201">
        <f>'1.1รวมยาทั้งหมด(1+2+3+4)'!D12+'5.vaccine'!D12</f>
        <v>44130.619999999995</v>
      </c>
      <c r="E12" s="201">
        <f>'1.1รวมยาทั้งหมด(1+2+3+4)'!E12+'5.vaccine'!E12</f>
        <v>31878.97</v>
      </c>
      <c r="F12" s="201">
        <f>'1.1รวมยาทั้งหมด(1+2+3+4)'!F12+'5.vaccine'!F12</f>
        <v>39898.76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160661.29999999999</v>
      </c>
      <c r="P12" s="324">
        <f t="shared" si="0"/>
        <v>7.9771735319365003E-2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2689.94</v>
      </c>
      <c r="D13" s="201">
        <f>'1.1รวมยาทั้งหมด(1+2+3+4)'!D13+'5.vaccine'!D13</f>
        <v>30986.959999999999</v>
      </c>
      <c r="E13" s="201">
        <f>'1.1รวมยาทั้งหมด(1+2+3+4)'!E13+'5.vaccine'!E13</f>
        <v>17783.599999999999</v>
      </c>
      <c r="F13" s="201">
        <f>'1.1รวมยาทั้งหมด(1+2+3+4)'!F13+'5.vaccine'!F13</f>
        <v>12016.28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63476.78</v>
      </c>
      <c r="P13" s="324">
        <f t="shared" si="0"/>
        <v>3.1517564547813084E-2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0</v>
      </c>
      <c r="D14" s="201">
        <f>'1.1รวมยาทั้งหมด(1+2+3+4)'!D14+'5.vaccine'!D14</f>
        <v>33633.599999999999</v>
      </c>
      <c r="E14" s="201">
        <f>'1.1รวมยาทั้งหมด(1+2+3+4)'!E14+'5.vaccine'!E14</f>
        <v>14652.49</v>
      </c>
      <c r="F14" s="201">
        <f>'1.1รวมยาทั้งหมด(1+2+3+4)'!F14+'5.vaccine'!F14</f>
        <v>14324.310000000001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62610.399999999994</v>
      </c>
      <c r="P14" s="324">
        <f t="shared" si="0"/>
        <v>3.1087388543722543E-2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26057.32</v>
      </c>
      <c r="D15" s="201">
        <f>'1.1รวมยาทั้งหมด(1+2+3+4)'!D15+'5.vaccine'!D15</f>
        <v>11777.41</v>
      </c>
      <c r="E15" s="201">
        <f>'1.1รวมยาทั้งหมด(1+2+3+4)'!E15+'5.vaccine'!E15</f>
        <v>41477.35</v>
      </c>
      <c r="F15" s="201">
        <f>'1.1รวมยาทั้งหมด(1+2+3+4)'!F15+'5.vaccine'!F15</f>
        <v>9825.92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89137.999999999985</v>
      </c>
      <c r="P15" s="324">
        <f t="shared" si="0"/>
        <v>4.4258903313352735E-2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16026.94</v>
      </c>
      <c r="D16" s="201">
        <f>'1.1รวมยาทั้งหมด(1+2+3+4)'!D16+'5.vaccine'!D16</f>
        <v>10127.23</v>
      </c>
      <c r="E16" s="201">
        <f>'1.1รวมยาทั้งหมด(1+2+3+4)'!E16+'5.vaccine'!E16</f>
        <v>12288.310000000001</v>
      </c>
      <c r="F16" s="201">
        <f>'1.1รวมยาทั้งหมด(1+2+3+4)'!F16+'5.vaccine'!F16</f>
        <v>12265.61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50708.09</v>
      </c>
      <c r="P16" s="324">
        <f t="shared" si="0"/>
        <v>2.5177639755376929E-2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17473.34</v>
      </c>
      <c r="D17" s="201">
        <f>'1.1รวมยาทั้งหมด(1+2+3+4)'!D17+'5.vaccine'!D17</f>
        <v>16883.550000000003</v>
      </c>
      <c r="E17" s="201">
        <f>'1.1รวมยาทั้งหมด(1+2+3+4)'!E17+'5.vaccine'!E17</f>
        <v>8327.02</v>
      </c>
      <c r="F17" s="201">
        <f>'1.1รวมยาทั้งหมด(1+2+3+4)'!F17+'5.vaccine'!F17</f>
        <v>21779.39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64463.3</v>
      </c>
      <c r="P17" s="324">
        <f t="shared" si="0"/>
        <v>3.2007392604272607E-2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18861.63</v>
      </c>
      <c r="D18" s="201">
        <f>'1.1รวมยาทั้งหมด(1+2+3+4)'!D18+'5.vaccine'!D18</f>
        <v>11668.68</v>
      </c>
      <c r="E18" s="201">
        <f>'1.1รวมยาทั้งหมด(1+2+3+4)'!E18+'5.vaccine'!E18</f>
        <v>13272.33</v>
      </c>
      <c r="F18" s="201">
        <f>'1.1รวมยาทั้งหมด(1+2+3+4)'!F18+'5.vaccine'!F18</f>
        <v>8674.57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52477.21</v>
      </c>
      <c r="P18" s="324">
        <f t="shared" si="0"/>
        <v>2.6056045272998131E-2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59912.6</v>
      </c>
      <c r="D19" s="201">
        <f>'1.1รวมยาทั้งหมด(1+2+3+4)'!D19+'5.vaccine'!D19</f>
        <v>32228.87</v>
      </c>
      <c r="E19" s="201">
        <f>'1.1รวมยาทั้งหมด(1+2+3+4)'!E19+'5.vaccine'!E19</f>
        <v>27042.18</v>
      </c>
      <c r="F19" s="201">
        <f>'1.1รวมยาทั้งหมด(1+2+3+4)'!F19+'5.vaccine'!F19</f>
        <v>23987.940000000002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143171.59</v>
      </c>
      <c r="P19" s="324">
        <f t="shared" si="0"/>
        <v>7.1087724192027871E-2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0</v>
      </c>
      <c r="D20" s="201">
        <f>'1.1รวมยาทั้งหมด(1+2+3+4)'!D20+'5.vaccine'!D20</f>
        <v>37556.269999999997</v>
      </c>
      <c r="E20" s="201">
        <f>'1.1รวมยาทั้งหมด(1+2+3+4)'!E20+'5.vaccine'!E20</f>
        <v>10720.05</v>
      </c>
      <c r="F20" s="201">
        <f>'1.1รวมยาทั้งหมด(1+2+3+4)'!F20+'5.vaccine'!F20</f>
        <v>8625.16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56901.479999999996</v>
      </c>
      <c r="P20" s="324">
        <f t="shared" si="0"/>
        <v>2.8252788953158862E-2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33058.630000000005</v>
      </c>
      <c r="D21" s="201">
        <f>'1.1รวมยาทั้งหมด(1+2+3+4)'!D21+'5.vaccine'!D21</f>
        <v>26182.42</v>
      </c>
      <c r="E21" s="201">
        <f>'1.1รวมยาทั้งหมด(1+2+3+4)'!E21+'5.vaccine'!E21</f>
        <v>20297.11</v>
      </c>
      <c r="F21" s="201">
        <f>'1.1รวมยาทั้งหมด(1+2+3+4)'!F21+'5.vaccine'!F21</f>
        <v>26261.03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105799.19</v>
      </c>
      <c r="P21" s="324">
        <f t="shared" si="0"/>
        <v>5.2531536727782047E-2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13334.7</v>
      </c>
      <c r="D22" s="201">
        <f>'1.1รวมยาทั้งหมด(1+2+3+4)'!D22+'5.vaccine'!D22</f>
        <v>30631.25</v>
      </c>
      <c r="E22" s="201">
        <f>'1.1รวมยาทั้งหมด(1+2+3+4)'!E22+'5.vaccine'!E22</f>
        <v>4483.97</v>
      </c>
      <c r="F22" s="201">
        <f>'1.1รวมยาทั้งหมด(1+2+3+4)'!F22+'5.vaccine'!F22</f>
        <v>17405.54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65855.459999999992</v>
      </c>
      <c r="P22" s="324">
        <f t="shared" si="0"/>
        <v>3.2698629504772023E-2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463810.27000000008</v>
      </c>
      <c r="D23" s="212">
        <f t="shared" ref="D23:O23" si="2">SUM(D5:D22)</f>
        <v>594130.89999999991</v>
      </c>
      <c r="E23" s="212">
        <f t="shared" si="2"/>
        <v>525808.33999999985</v>
      </c>
      <c r="F23" s="212">
        <f t="shared" si="2"/>
        <v>430263.34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2014012.85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23408.81</v>
      </c>
      <c r="D24" s="200">
        <f>'1.1รวมยาทั้งหมด(1+2+3+4)'!D24+'5.vaccine'!D24</f>
        <v>15855.72</v>
      </c>
      <c r="E24" s="200">
        <f>'1.1รวมยาทั้งหมด(1+2+3+4)'!E24+'5.vaccine'!E24</f>
        <v>85987.41</v>
      </c>
      <c r="F24" s="200">
        <f>'1.1รวมยาทั้งหมด(1+2+3+4)'!F24+'5.vaccine'!F24</f>
        <v>57549.58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182801.52000000002</v>
      </c>
      <c r="P24" s="324">
        <f t="shared" si="0"/>
        <v>9.0764823074490325E-2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23408.81</v>
      </c>
      <c r="D26" s="214">
        <f t="shared" ref="D26:N26" si="4">SUM(D24:D25)</f>
        <v>15855.72</v>
      </c>
      <c r="E26" s="214">
        <f t="shared" si="4"/>
        <v>85987.41</v>
      </c>
      <c r="F26" s="214">
        <f t="shared" si="4"/>
        <v>57549.58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182801.52000000002</v>
      </c>
      <c r="P26" s="326">
        <f t="shared" si="0"/>
        <v>9.0764823074490325E-2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487219.08000000007</v>
      </c>
      <c r="D27" s="217">
        <f t="shared" ref="D27:N27" si="5">D23+D26</f>
        <v>609986.61999999988</v>
      </c>
      <c r="E27" s="217">
        <f t="shared" si="5"/>
        <v>611795.74999999988</v>
      </c>
      <c r="F27" s="217">
        <f t="shared" si="5"/>
        <v>487812.92000000004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2196814.3699999996</v>
      </c>
      <c r="P27" s="327">
        <f t="shared" si="0"/>
        <v>1.0907648230744902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3" t="s">
        <v>72</v>
      </c>
      <c r="H30" s="363"/>
      <c r="I30" s="363"/>
      <c r="J30" s="3"/>
      <c r="K30" s="3"/>
      <c r="L30" s="363" t="s">
        <v>49</v>
      </c>
      <c r="M30" s="363"/>
      <c r="N30" s="363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2563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26/1/64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79211.58</v>
      </c>
      <c r="D5" s="183">
        <f>'1.1รวมยาทั้งหมด(1+2+3+4)'!D5+'2.รวมวชย ทุกประเภท'!D5</f>
        <v>69785.08</v>
      </c>
      <c r="E5" s="183">
        <f>'1.1รวมยาทั้งหมด(1+2+3+4)'!E5+'2.รวมวชย ทุกประเภท'!E5</f>
        <v>83881.3</v>
      </c>
      <c r="F5" s="183">
        <f>'1.1รวมยาทั้งหมด(1+2+3+4)'!F5+'2.รวมวชย ทุกประเภท'!F5</f>
        <v>84523.89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317401.85000000003</v>
      </c>
      <c r="P5" s="313">
        <f t="shared" ref="P5:P27" si="0">O5/$O$23</f>
        <v>0.20476711582637305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46682.400000000001</v>
      </c>
      <c r="D6" s="183">
        <f>'1.1รวมยาทั้งหมด(1+2+3+4)'!D6+'2.รวมวชย ทุกประเภท'!D6</f>
        <v>37721.65</v>
      </c>
      <c r="E6" s="183">
        <f>'1.1รวมยาทั้งหมด(1+2+3+4)'!E6+'2.รวมวชย ทุกประเภท'!E6</f>
        <v>51572</v>
      </c>
      <c r="F6" s="183">
        <f>'1.1รวมยาทั้งหมด(1+2+3+4)'!F6+'2.รวมวชย ทุกประเภท'!F6</f>
        <v>34116.44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170092.49</v>
      </c>
      <c r="P6" s="313">
        <f t="shared" si="0"/>
        <v>0.10973265783115692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27500.440000000002</v>
      </c>
      <c r="D7" s="183">
        <f>'1.1รวมยาทั้งหมด(1+2+3+4)'!D7+'2.รวมวชย ทุกประเภท'!D7</f>
        <v>20089.77</v>
      </c>
      <c r="E7" s="183">
        <f>'1.1รวมยาทั้งหมด(1+2+3+4)'!E7+'2.รวมวชย ทุกประเภท'!E7</f>
        <v>12002.65</v>
      </c>
      <c r="F7" s="183">
        <f>'1.1รวมยาทั้งหมด(1+2+3+4)'!F7+'2.รวมวชย ทุกประเภท'!F7</f>
        <v>17389.5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76982.360000000015</v>
      </c>
      <c r="P7" s="313">
        <f t="shared" si="0"/>
        <v>4.9664032603173383E-2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2700</v>
      </c>
      <c r="D8" s="183">
        <f>'1.1รวมยาทั้งหมด(1+2+3+4)'!D8+'2.รวมวชย ทุกประเภท'!D8</f>
        <v>56356.95</v>
      </c>
      <c r="E8" s="183">
        <f>'1.1รวมยาทั้งหมด(1+2+3+4)'!E8+'2.รวมวชย ทุกประเภท'!E8</f>
        <v>64565.8</v>
      </c>
      <c r="F8" s="183">
        <f>'1.1รวมยาทั้งหมด(1+2+3+4)'!F8+'2.รวมวชย ทุกประเภท'!F8</f>
        <v>6444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130066.75</v>
      </c>
      <c r="P8" s="313">
        <f t="shared" si="0"/>
        <v>8.3910642809454025E-2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9201.119999999999</v>
      </c>
      <c r="D9" s="183">
        <f>'1.1รวมยาทั้งหมด(1+2+3+4)'!D9+'2.รวมวชย ทุกประเภท'!D9</f>
        <v>26251.809999999998</v>
      </c>
      <c r="E9" s="183">
        <f>'1.1รวมยาทั้งหมด(1+2+3+4)'!E9+'2.รวมวชย ทุกประเภท'!E9</f>
        <v>23945.68</v>
      </c>
      <c r="F9" s="183">
        <f>'1.1รวมยาทั้งหมด(1+2+3+4)'!F9+'2.รวมวชย ทุกประเภท'!F9</f>
        <v>19703.5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79102.109999999986</v>
      </c>
      <c r="P9" s="313">
        <f t="shared" si="0"/>
        <v>5.1031558009130999E-2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11786.29</v>
      </c>
      <c r="D10" s="183">
        <f>'1.1รวมยาทั้งหมด(1+2+3+4)'!D10+'2.รวมวชย ทุกประเภท'!D10</f>
        <v>25912.05</v>
      </c>
      <c r="E10" s="183">
        <f>'1.1รวมยาทั้งหมด(1+2+3+4)'!E10+'2.รวมวชย ทุกประเภท'!E10</f>
        <v>9521</v>
      </c>
      <c r="F10" s="183">
        <f>'1.1รวมยาทั้งหมด(1+2+3+4)'!F10+'2.รวมวชย ทุกประเภท'!F10</f>
        <v>9385.67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56605.009999999995</v>
      </c>
      <c r="P10" s="313">
        <f t="shared" si="0"/>
        <v>3.6517886203319236E-2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3899</v>
      </c>
      <c r="D11" s="183">
        <f>'1.1รวมยาทั้งหมด(1+2+3+4)'!D11+'2.รวมวชย ทุกประเภท'!D11</f>
        <v>15740.26</v>
      </c>
      <c r="E11" s="183">
        <f>'1.1รวมยาทั้งหมด(1+2+3+4)'!E11+'2.รวมวชย ทุกประเภท'!E11</f>
        <v>13246.630000000001</v>
      </c>
      <c r="F11" s="183">
        <f>'1.1รวมยาทั้งหมด(1+2+3+4)'!F11+'2.รวมวชย ทุกประเภท'!F11</f>
        <v>9254.880000000001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42140.770000000004</v>
      </c>
      <c r="P11" s="313">
        <f t="shared" si="0"/>
        <v>2.7186495389370121E-2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32993</v>
      </c>
      <c r="D12" s="183">
        <f>'1.1รวมยาทั้งหมด(1+2+3+4)'!D12+'2.รวมวชย ทุกประเภท'!D12</f>
        <v>34748.729999999996</v>
      </c>
      <c r="E12" s="183">
        <f>'1.1รวมยาทั้งหมด(1+2+3+4)'!E12+'2.รวมวชย ทุกประเภท'!E12</f>
        <v>31878.97</v>
      </c>
      <c r="F12" s="183">
        <f>'1.1รวมยาทั้งหมด(1+2+3+4)'!F12+'2.รวมวชย ทุกประเภท'!F12</f>
        <v>25768.22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125388.92</v>
      </c>
      <c r="P12" s="313">
        <f t="shared" si="0"/>
        <v>8.0892809871725133E-2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496</v>
      </c>
      <c r="D13" s="183">
        <f>'1.1รวมยาทั้งหมด(1+2+3+4)'!D13+'2.รวมวชย ทุกประเภท'!D13</f>
        <v>26843.43</v>
      </c>
      <c r="E13" s="183">
        <f>'1.1รวมยาทั้งหมด(1+2+3+4)'!E13+'2.รวมวชย ทุกประเภท'!E13</f>
        <v>8617.66</v>
      </c>
      <c r="F13" s="183">
        <f>'1.1รวมยาทั้งหมด(1+2+3+4)'!F13+'2.รวมวชย ทุกประเภท'!F13</f>
        <v>2850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38807.089999999997</v>
      </c>
      <c r="P13" s="313">
        <f t="shared" si="0"/>
        <v>2.503582097241866E-2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0</v>
      </c>
      <c r="D14" s="183">
        <f>'1.1รวมยาทั้งหมด(1+2+3+4)'!D14+'2.รวมวชย ทุกประเภท'!D14</f>
        <v>27858.489999999998</v>
      </c>
      <c r="E14" s="183">
        <f>'1.1รวมยาทั้งหมด(1+2+3+4)'!E14+'2.รวมวชย ทุกประเภท'!E14</f>
        <v>13737.43</v>
      </c>
      <c r="F14" s="183">
        <f>'1.1รวมยาทั้งหมด(1+2+3+4)'!F14+'2.รวมวชย ทุกประเภท'!F14</f>
        <v>7410.25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49006.17</v>
      </c>
      <c r="P14" s="313">
        <f t="shared" si="0"/>
        <v>3.1615606804424504E-2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18008.09</v>
      </c>
      <c r="D15" s="183">
        <f>'1.1รวมยาทั้งหมด(1+2+3+4)'!D15+'2.รวมวชย ทุกประเภท'!D15</f>
        <v>9449.98</v>
      </c>
      <c r="E15" s="183">
        <f>'1.1รวมยาทั้งหมด(1+2+3+4)'!E15+'2.รวมวชย ทุกประเภท'!E15</f>
        <v>35705.15</v>
      </c>
      <c r="F15" s="183">
        <f>'1.1รวมยาทั้งหมด(1+2+3+4)'!F15+'2.รวมวชย ทุกประเภท'!F15</f>
        <v>9825.92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72989.14</v>
      </c>
      <c r="P15" s="313">
        <f t="shared" si="0"/>
        <v>4.7087865695954058E-2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11294.54</v>
      </c>
      <c r="D16" s="183">
        <f>'1.1รวมยาทั้งหมด(1+2+3+4)'!D16+'2.รวมวชย ทุกประเภท'!D16</f>
        <v>9350.89</v>
      </c>
      <c r="E16" s="183">
        <f>'1.1รวมยาทั้งหมด(1+2+3+4)'!E16+'2.รวมวชย ทุกประเภท'!E16</f>
        <v>7911</v>
      </c>
      <c r="F16" s="183">
        <f>'1.1รวมยาทั้งหมด(1+2+3+4)'!F16+'2.รวมวชย ทุกประเภท'!F16</f>
        <v>9539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38095.43</v>
      </c>
      <c r="P16" s="313">
        <f t="shared" si="0"/>
        <v>2.4576704033909966E-2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14508.24</v>
      </c>
      <c r="D17" s="183">
        <f>'1.1รวมยาทั้งหมด(1+2+3+4)'!D17+'2.รวมวชย ทุกประเภท'!D17</f>
        <v>14373.650000000001</v>
      </c>
      <c r="E17" s="183">
        <f>'1.1รวมยาทั้งหมด(1+2+3+4)'!E17+'2.รวมวชย ทุกประเภท'!E17</f>
        <v>8327.02</v>
      </c>
      <c r="F17" s="183">
        <f>'1.1รวมยาทั้งหมด(1+2+3+4)'!F17+'2.รวมวชย ทุกประเภท'!F17</f>
        <v>14331.05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51539.960000000006</v>
      </c>
      <c r="P17" s="313">
        <f t="shared" si="0"/>
        <v>3.3250244001434254E-2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11387.16</v>
      </c>
      <c r="D18" s="183">
        <f>'1.1รวมยาทั้งหมด(1+2+3+4)'!D18+'2.รวมวชย ทุกประเภท'!D18</f>
        <v>6043.19</v>
      </c>
      <c r="E18" s="183">
        <f>'1.1รวมยาทั้งหมด(1+2+3+4)'!E18+'2.รวมวชย ทุกประเภท'!E18</f>
        <v>5904.66</v>
      </c>
      <c r="F18" s="183">
        <f>'1.1รวมยาทั้งหมด(1+2+3+4)'!F18+'2.รวมวชย ทุกประเภท'!F18</f>
        <v>4928.6499999999996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28263.659999999996</v>
      </c>
      <c r="P18" s="313">
        <f t="shared" si="0"/>
        <v>1.8233882823610593E-2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53743.519999999997</v>
      </c>
      <c r="D19" s="183">
        <f>'1.1รวมยาทั้งหมด(1+2+3+4)'!D19+'2.รวมวชย ทุกประเภท'!D19</f>
        <v>25808.71</v>
      </c>
      <c r="E19" s="183">
        <f>'1.1รวมยาทั้งหมด(1+2+3+4)'!E19+'2.รวมวชย ทุกประเภท'!E19</f>
        <v>14813.64</v>
      </c>
      <c r="F19" s="183">
        <f>'1.1รวมยาทั้งหมด(1+2+3+4)'!F19+'2.รวมวชย ทุกประเภท'!F19</f>
        <v>15568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109933.87</v>
      </c>
      <c r="P19" s="313">
        <f t="shared" si="0"/>
        <v>7.0922212619527691E-2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31733.489999999998</v>
      </c>
      <c r="E20" s="183">
        <f>'1.1รวมยาทั้งหมด(1+2+3+4)'!E20+'2.รวมวชย ทุกประเภท'!E20</f>
        <v>10720.05</v>
      </c>
      <c r="F20" s="183">
        <f>'1.1รวมยาทั้งหมด(1+2+3+4)'!F20+'2.รวมวชย ทุกประเภท'!F20</f>
        <v>5297.5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47751.039999999994</v>
      </c>
      <c r="P20" s="313">
        <f t="shared" si="0"/>
        <v>3.0805878221912601E-2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24049.58</v>
      </c>
      <c r="D21" s="183">
        <f>'1.1รวมยาทั้งหมด(1+2+3+4)'!D21+'2.รวมวชย ทุกประเภท'!D21</f>
        <v>18763.379999999997</v>
      </c>
      <c r="E21" s="183">
        <f>'1.1รวมยาทั้งหมด(1+2+3+4)'!E21+'2.รวมวชย ทุกประเภท'!E21</f>
        <v>14589.5</v>
      </c>
      <c r="F21" s="183">
        <f>'1.1รวมยาทั้งหมด(1+2+3+4)'!F21+'2.รวมวชย ทุกประเภท'!F21</f>
        <v>17448.86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74851.320000000007</v>
      </c>
      <c r="P21" s="313">
        <f t="shared" si="0"/>
        <v>4.8289223620457518E-2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7582.1</v>
      </c>
      <c r="D22" s="183">
        <f>'1.1รวมยาทั้งหมด(1+2+3+4)'!D22+'2.รวมวชย ทุกประเภท'!D22</f>
        <v>26616.32</v>
      </c>
      <c r="E22" s="183">
        <f>'1.1รวมยาทั้งหมด(1+2+3+4)'!E22+'2.รวมวชย ทุกประเภท'!E22</f>
        <v>0</v>
      </c>
      <c r="F22" s="183">
        <f>'1.1รวมยาทั้งหมด(1+2+3+4)'!F22+'2.รวมวชย ทุกประเภท'!F22</f>
        <v>6846.25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41044.67</v>
      </c>
      <c r="P22" s="313">
        <f t="shared" si="0"/>
        <v>2.6479362662647547E-2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355043.06</v>
      </c>
      <c r="D23" s="188">
        <f t="shared" ref="D23:O23" si="2">SUM(D5:D22)</f>
        <v>483447.83</v>
      </c>
      <c r="E23" s="188">
        <f t="shared" si="2"/>
        <v>410940.14</v>
      </c>
      <c r="F23" s="188">
        <f t="shared" si="2"/>
        <v>300631.58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1550062.6099999996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355043.06</v>
      </c>
      <c r="D27" s="205">
        <f t="shared" ref="D27:N27" si="5">D23+D26</f>
        <v>483447.83</v>
      </c>
      <c r="E27" s="205">
        <f t="shared" si="5"/>
        <v>410940.14</v>
      </c>
      <c r="F27" s="205">
        <f t="shared" si="5"/>
        <v>300631.58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1550062.61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20%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2020-08-31T04:26:12Z</cp:lastPrinted>
  <dcterms:created xsi:type="dcterms:W3CDTF">2017-10-13T14:25:05Z</dcterms:created>
  <dcterms:modified xsi:type="dcterms:W3CDTF">2021-01-26T08:51:29Z</dcterms:modified>
</cp:coreProperties>
</file>