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activeTab="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1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J23" i="6" l="1"/>
  <c r="J21" i="6"/>
  <c r="J18" i="6"/>
  <c r="J16" i="6"/>
  <c r="J5" i="6"/>
  <c r="J27" i="10"/>
  <c r="J23" i="10"/>
  <c r="J27" i="9"/>
  <c r="J23" i="9"/>
  <c r="J27" i="8"/>
  <c r="J23" i="8"/>
  <c r="J25" i="7"/>
  <c r="J26" i="7"/>
  <c r="J27" i="11"/>
  <c r="J23" i="11"/>
  <c r="J24" i="11"/>
  <c r="J24" i="7"/>
  <c r="J23" i="7"/>
  <c r="J21" i="7"/>
  <c r="J21" i="11"/>
  <c r="J20" i="7"/>
  <c r="J19" i="7"/>
  <c r="J18" i="9"/>
  <c r="J18" i="11"/>
  <c r="J18" i="7"/>
  <c r="J17" i="11"/>
  <c r="J17" i="7"/>
  <c r="J16" i="7"/>
  <c r="J15" i="11"/>
  <c r="J15" i="7"/>
  <c r="J14" i="11"/>
  <c r="J14" i="7"/>
  <c r="J12" i="9"/>
  <c r="J13" i="11"/>
  <c r="J13" i="7"/>
  <c r="J12" i="11"/>
  <c r="J12" i="7"/>
  <c r="J11" i="7"/>
  <c r="J10" i="7"/>
  <c r="J9" i="11"/>
  <c r="J9" i="7"/>
  <c r="J8" i="7"/>
  <c r="J7" i="11"/>
  <c r="J7" i="7"/>
  <c r="J5" i="11"/>
  <c r="J5" i="8"/>
  <c r="J5" i="7"/>
  <c r="J27" i="4"/>
  <c r="J23" i="4"/>
  <c r="J21" i="4"/>
  <c r="J20" i="4"/>
  <c r="J19" i="4"/>
  <c r="J18" i="4"/>
  <c r="J17" i="4"/>
  <c r="J16" i="4"/>
  <c r="J12" i="4"/>
  <c r="J11" i="4"/>
  <c r="J10" i="4"/>
  <c r="J9" i="4"/>
  <c r="J7" i="4"/>
  <c r="J6" i="4"/>
  <c r="J5" i="4"/>
  <c r="J27" i="2"/>
  <c r="J26" i="2"/>
  <c r="J24" i="2"/>
  <c r="J23" i="2"/>
  <c r="J22" i="2"/>
  <c r="J21" i="2"/>
  <c r="J20" i="2"/>
  <c r="J19" i="2"/>
  <c r="J18" i="2"/>
  <c r="J17" i="2"/>
  <c r="J16" i="2"/>
  <c r="J15" i="2"/>
  <c r="J10" i="2"/>
  <c r="J8" i="2"/>
  <c r="J7" i="2"/>
  <c r="J6" i="2"/>
  <c r="J5" i="2"/>
  <c r="I27" i="6" l="1"/>
  <c r="I23" i="6"/>
  <c r="I15" i="6"/>
  <c r="I14" i="6"/>
  <c r="I13" i="6"/>
  <c r="I12" i="6"/>
  <c r="H27" i="6"/>
  <c r="H23" i="6"/>
  <c r="I27" i="9"/>
  <c r="I23" i="9"/>
  <c r="H27" i="9"/>
  <c r="H23" i="9"/>
  <c r="I27" i="11"/>
  <c r="I23" i="11"/>
  <c r="I27" i="8"/>
  <c r="I23" i="8"/>
  <c r="I21" i="4"/>
  <c r="I23" i="7"/>
  <c r="I26" i="7" s="1"/>
  <c r="I25" i="7"/>
  <c r="I22" i="7"/>
  <c r="I21" i="7"/>
  <c r="I21" i="11"/>
  <c r="I20" i="7"/>
  <c r="I19" i="7"/>
  <c r="I18" i="7"/>
  <c r="I17" i="7"/>
  <c r="I16" i="7"/>
  <c r="I15" i="7"/>
  <c r="I14" i="11"/>
  <c r="I14" i="7"/>
  <c r="I13" i="7"/>
  <c r="I12" i="7"/>
  <c r="I10" i="7"/>
  <c r="I9" i="7"/>
  <c r="I8" i="7"/>
  <c r="I7" i="7"/>
  <c r="I6" i="7"/>
  <c r="I5" i="7"/>
  <c r="I26" i="4"/>
  <c r="I24" i="4"/>
  <c r="I23" i="4"/>
  <c r="I27" i="4" s="1"/>
  <c r="I22" i="4"/>
  <c r="I19" i="4"/>
  <c r="I18" i="4"/>
  <c r="I17" i="4"/>
  <c r="I16" i="4"/>
  <c r="I15" i="4"/>
  <c r="I14" i="4"/>
  <c r="I13" i="4"/>
  <c r="I12" i="4"/>
  <c r="I10" i="4"/>
  <c r="I9" i="4"/>
  <c r="I8" i="4"/>
  <c r="I7" i="4"/>
  <c r="I6" i="4"/>
  <c r="I5" i="4"/>
  <c r="I27" i="2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9" i="2"/>
  <c r="I8" i="2"/>
  <c r="I6" i="2"/>
  <c r="I5" i="2"/>
  <c r="H17" i="4" l="1"/>
  <c r="H27" i="12" l="1"/>
  <c r="O23" i="11"/>
  <c r="O27" i="11" s="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H27" i="11"/>
  <c r="H23" i="11"/>
  <c r="O27" i="8"/>
  <c r="O23" i="8"/>
  <c r="O22" i="8"/>
  <c r="O19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H27" i="8"/>
  <c r="H23" i="8"/>
  <c r="O25" i="7"/>
  <c r="O26" i="7"/>
  <c r="H26" i="4"/>
  <c r="H23" i="4"/>
  <c r="H27" i="4" s="1"/>
  <c r="H27" i="2"/>
  <c r="H26" i="2"/>
  <c r="H23" i="2"/>
  <c r="H17" i="11"/>
  <c r="H17" i="8"/>
  <c r="H17" i="7"/>
  <c r="H17" i="2"/>
  <c r="H24" i="7"/>
  <c r="H25" i="7" s="1"/>
  <c r="H22" i="7"/>
  <c r="H21" i="7"/>
  <c r="H20" i="7"/>
  <c r="H19" i="7"/>
  <c r="H18" i="7"/>
  <c r="H16" i="7"/>
  <c r="H15" i="11"/>
  <c r="H15" i="7"/>
  <c r="H13" i="11"/>
  <c r="H13" i="7"/>
  <c r="H12" i="7"/>
  <c r="H12" i="11"/>
  <c r="H11" i="7"/>
  <c r="H11" i="11"/>
  <c r="H9" i="11"/>
  <c r="H9" i="7"/>
  <c r="H8" i="7"/>
  <c r="H7" i="7"/>
  <c r="H23" i="7" s="1"/>
  <c r="H26" i="7" s="1"/>
  <c r="H6" i="7"/>
  <c r="H6" i="11"/>
  <c r="H5" i="7"/>
  <c r="H5" i="11"/>
  <c r="H24" i="4"/>
  <c r="H22" i="4"/>
  <c r="H19" i="4"/>
  <c r="H16" i="4"/>
  <c r="H15" i="4"/>
  <c r="H12" i="4"/>
  <c r="H11" i="4"/>
  <c r="H10" i="4"/>
  <c r="H9" i="4"/>
  <c r="H8" i="4"/>
  <c r="H6" i="4"/>
  <c r="H5" i="4"/>
  <c r="H24" i="2"/>
  <c r="H21" i="2"/>
  <c r="H19" i="2"/>
  <c r="H16" i="2"/>
  <c r="H15" i="2"/>
  <c r="H14" i="2"/>
  <c r="H13" i="2"/>
  <c r="H12" i="2"/>
  <c r="H11" i="2"/>
  <c r="H10" i="2"/>
  <c r="H9" i="2"/>
  <c r="H8" i="2"/>
  <c r="H7" i="2"/>
  <c r="H6" i="2"/>
  <c r="H5" i="2"/>
  <c r="G16" i="2"/>
  <c r="G15" i="2" l="1"/>
  <c r="G26" i="2" l="1"/>
  <c r="G23" i="2"/>
  <c r="G27" i="2" s="1"/>
  <c r="G27" i="4"/>
  <c r="G26" i="4"/>
  <c r="G23" i="4"/>
  <c r="G27" i="6"/>
  <c r="G23" i="6"/>
  <c r="G27" i="8"/>
  <c r="G23" i="8"/>
  <c r="G27" i="11"/>
  <c r="G27" i="10"/>
  <c r="G23" i="10"/>
  <c r="G27" i="9"/>
  <c r="G23" i="9"/>
  <c r="G24" i="7"/>
  <c r="G25" i="7" s="1"/>
  <c r="G24" i="2"/>
  <c r="G24" i="4"/>
  <c r="G22" i="11"/>
  <c r="G22" i="2"/>
  <c r="G21" i="7"/>
  <c r="G21" i="4"/>
  <c r="G21" i="2"/>
  <c r="G19" i="7"/>
  <c r="G18" i="7"/>
  <c r="G18" i="4"/>
  <c r="G18" i="2"/>
  <c r="G17" i="2"/>
  <c r="G17" i="7"/>
  <c r="G17" i="9"/>
  <c r="G16" i="7"/>
  <c r="G16" i="4"/>
  <c r="G15" i="7"/>
  <c r="G13" i="11"/>
  <c r="G14" i="7"/>
  <c r="G14" i="4"/>
  <c r="G14" i="2"/>
  <c r="G13" i="9"/>
  <c r="G13" i="7"/>
  <c r="G13" i="2"/>
  <c r="G12" i="7"/>
  <c r="G12" i="11"/>
  <c r="G12" i="9"/>
  <c r="G12" i="4"/>
  <c r="G12" i="2" l="1"/>
  <c r="G11" i="9"/>
  <c r="G11" i="11"/>
  <c r="G11" i="7"/>
  <c r="G10" i="11"/>
  <c r="G10" i="7"/>
  <c r="G10" i="2"/>
  <c r="G9" i="2"/>
  <c r="G8" i="7"/>
  <c r="G8" i="4"/>
  <c r="G8" i="2"/>
  <c r="G7" i="2"/>
  <c r="G6" i="7"/>
  <c r="G6" i="9"/>
  <c r="G6" i="4"/>
  <c r="G6" i="2"/>
  <c r="G5" i="11"/>
  <c r="G5" i="7"/>
  <c r="G23" i="7" s="1"/>
  <c r="G26" i="7" s="1"/>
  <c r="G5" i="2"/>
  <c r="F27" i="6" l="1"/>
  <c r="F23" i="6"/>
  <c r="F24" i="7"/>
  <c r="F24" i="2"/>
  <c r="F27" i="2" s="1"/>
  <c r="F27" i="8"/>
  <c r="F24" i="8"/>
  <c r="F23" i="8"/>
  <c r="F27" i="11"/>
  <c r="F23" i="11"/>
  <c r="F27" i="9"/>
  <c r="F23" i="9"/>
  <c r="F22" i="7"/>
  <c r="F21" i="11"/>
  <c r="F21" i="7"/>
  <c r="F23" i="7" s="1"/>
  <c r="F19" i="7"/>
  <c r="F18" i="7"/>
  <c r="F17" i="7"/>
  <c r="F16" i="7"/>
  <c r="F14" i="7"/>
  <c r="F13" i="7"/>
  <c r="F12" i="7"/>
  <c r="F11" i="7"/>
  <c r="F10" i="7"/>
  <c r="F9" i="7"/>
  <c r="F6" i="11"/>
  <c r="F6" i="7"/>
  <c r="F5" i="7"/>
  <c r="F5" i="11"/>
  <c r="F27" i="4"/>
  <c r="F26" i="4"/>
  <c r="F24" i="4"/>
  <c r="F23" i="4"/>
  <c r="F16" i="4"/>
  <c r="F14" i="4"/>
  <c r="F13" i="4"/>
  <c r="F12" i="4"/>
  <c r="F10" i="4"/>
  <c r="F9" i="4"/>
  <c r="F5" i="4"/>
  <c r="F26" i="2"/>
  <c r="F23" i="2"/>
  <c r="F21" i="2"/>
  <c r="F19" i="2"/>
  <c r="F18" i="2"/>
  <c r="F17" i="2"/>
  <c r="F16" i="2"/>
  <c r="F15" i="2"/>
  <c r="F14" i="2"/>
  <c r="F13" i="2"/>
  <c r="F12" i="2"/>
  <c r="F11" i="2"/>
  <c r="F10" i="2"/>
  <c r="F9" i="2"/>
  <c r="F6" i="2"/>
  <c r="F5" i="2"/>
  <c r="F26" i="7" l="1"/>
  <c r="F25" i="7"/>
  <c r="E20" i="7"/>
  <c r="E27" i="6" l="1"/>
  <c r="E23" i="6"/>
  <c r="E15" i="9"/>
  <c r="E23" i="9" s="1"/>
  <c r="E27" i="9" s="1"/>
  <c r="E23" i="11"/>
  <c r="E27" i="11" s="1"/>
  <c r="E15" i="7"/>
  <c r="E15" i="6"/>
  <c r="E27" i="12"/>
  <c r="E24" i="2"/>
  <c r="E26" i="2" s="1"/>
  <c r="E24" i="11"/>
  <c r="E24" i="7"/>
  <c r="E27" i="8"/>
  <c r="E23" i="8"/>
  <c r="E27" i="10"/>
  <c r="E26" i="10"/>
  <c r="E23" i="10"/>
  <c r="E26" i="12"/>
  <c r="E23" i="12"/>
  <c r="E21" i="7"/>
  <c r="E20" i="11"/>
  <c r="E19" i="11"/>
  <c r="E19" i="7"/>
  <c r="E18" i="11"/>
  <c r="E18" i="7"/>
  <c r="E17" i="11"/>
  <c r="E17" i="7"/>
  <c r="E16" i="7"/>
  <c r="E14" i="11"/>
  <c r="E14" i="7"/>
  <c r="E13" i="11"/>
  <c r="E13" i="7"/>
  <c r="E12" i="9"/>
  <c r="E12" i="7"/>
  <c r="E12" i="11"/>
  <c r="E10" i="11"/>
  <c r="E11" i="7"/>
  <c r="E8" i="9"/>
  <c r="E8" i="7"/>
  <c r="E7" i="9"/>
  <c r="E7" i="7"/>
  <c r="E6" i="7"/>
  <c r="E5" i="7"/>
  <c r="E27" i="4"/>
  <c r="E26" i="4"/>
  <c r="E23" i="4"/>
  <c r="E15" i="4"/>
  <c r="E12" i="2"/>
  <c r="E12" i="4"/>
  <c r="E9" i="4"/>
  <c r="E6" i="4"/>
  <c r="E5" i="4"/>
  <c r="E23" i="2"/>
  <c r="E20" i="2"/>
  <c r="E19" i="2"/>
  <c r="E18" i="2"/>
  <c r="E17" i="2"/>
  <c r="E15" i="2"/>
  <c r="E14" i="2"/>
  <c r="E13" i="2"/>
  <c r="E11" i="2"/>
  <c r="E10" i="2"/>
  <c r="E8" i="2"/>
  <c r="E25" i="7" l="1"/>
  <c r="E23" i="7"/>
  <c r="E26" i="7" s="1"/>
  <c r="E27" i="2"/>
  <c r="D27" i="6"/>
  <c r="D23" i="6"/>
  <c r="D27" i="11"/>
  <c r="D26" i="11"/>
  <c r="D23" i="11"/>
  <c r="D27" i="8"/>
  <c r="D26" i="8"/>
  <c r="D25" i="7"/>
  <c r="D27" i="9"/>
  <c r="D23" i="9"/>
  <c r="D24" i="7"/>
  <c r="D22" i="9"/>
  <c r="D22" i="11"/>
  <c r="D22" i="7"/>
  <c r="D21" i="7"/>
  <c r="D23" i="7" s="1"/>
  <c r="D20" i="7"/>
  <c r="O20" i="7" s="1"/>
  <c r="D19" i="7"/>
  <c r="O19" i="7" s="1"/>
  <c r="D18" i="7"/>
  <c r="D16" i="7"/>
  <c r="D15" i="7"/>
  <c r="D14" i="7"/>
  <c r="O14" i="7" s="1"/>
  <c r="D13" i="7"/>
  <c r="D12" i="7"/>
  <c r="D11" i="7"/>
  <c r="D10" i="7"/>
  <c r="O10" i="7" s="1"/>
  <c r="D9" i="7"/>
  <c r="O9" i="7" s="1"/>
  <c r="D9" i="9"/>
  <c r="D8" i="7"/>
  <c r="O8" i="7" s="1"/>
  <c r="D7" i="11"/>
  <c r="D7" i="7"/>
  <c r="D5" i="9"/>
  <c r="D5" i="7"/>
  <c r="D5" i="11"/>
  <c r="D27" i="4"/>
  <c r="D26" i="4"/>
  <c r="D23" i="4"/>
  <c r="D22" i="4"/>
  <c r="D20" i="4"/>
  <c r="D13" i="4"/>
  <c r="D12" i="4"/>
  <c r="D9" i="4"/>
  <c r="D7" i="4"/>
  <c r="D6" i="4"/>
  <c r="D5" i="4"/>
  <c r="D27" i="2"/>
  <c r="D26" i="2"/>
  <c r="D24" i="2"/>
  <c r="D23" i="2"/>
  <c r="D22" i="2"/>
  <c r="D20" i="2"/>
  <c r="D19" i="2"/>
  <c r="D17" i="2"/>
  <c r="D15" i="2"/>
  <c r="D14" i="2"/>
  <c r="D13" i="2"/>
  <c r="D12" i="2"/>
  <c r="D11" i="2"/>
  <c r="D10" i="2"/>
  <c r="D9" i="2"/>
  <c r="D8" i="2"/>
  <c r="D6" i="2"/>
  <c r="D5" i="2"/>
  <c r="D26" i="7" l="1"/>
  <c r="C7" i="4"/>
  <c r="C5" i="2"/>
  <c r="C5" i="4"/>
  <c r="O27" i="12" l="1"/>
  <c r="O26" i="12"/>
  <c r="O24" i="12"/>
  <c r="O23" i="12"/>
  <c r="O11" i="12"/>
  <c r="O5" i="12"/>
  <c r="C27" i="10"/>
  <c r="C26" i="10"/>
  <c r="C27" i="9"/>
  <c r="C23" i="9"/>
  <c r="C27" i="11"/>
  <c r="C26" i="11"/>
  <c r="C23" i="11"/>
  <c r="C27" i="8"/>
  <c r="C23" i="8"/>
  <c r="C26" i="4"/>
  <c r="C23" i="6"/>
  <c r="C27" i="6" s="1"/>
  <c r="C7" i="7"/>
  <c r="O7" i="7" s="1"/>
  <c r="C7" i="2"/>
  <c r="C23" i="10"/>
  <c r="C27" i="12"/>
  <c r="C23" i="12"/>
  <c r="C24" i="7"/>
  <c r="O24" i="7" s="1"/>
  <c r="C22" i="7"/>
  <c r="O22" i="7" s="1"/>
  <c r="C21" i="9"/>
  <c r="C21" i="7"/>
  <c r="O21" i="7" s="1"/>
  <c r="C18" i="11"/>
  <c r="C18" i="7"/>
  <c r="O18" i="7" s="1"/>
  <c r="C16" i="9"/>
  <c r="C17" i="7"/>
  <c r="O17" i="7" s="1"/>
  <c r="C16" i="7"/>
  <c r="O16" i="7" s="1"/>
  <c r="C15" i="7"/>
  <c r="O15" i="7" s="1"/>
  <c r="C25" i="7" l="1"/>
  <c r="C15" i="11"/>
  <c r="C13" i="7"/>
  <c r="O13" i="7" s="1"/>
  <c r="C12" i="7"/>
  <c r="O12" i="7" s="1"/>
  <c r="C11" i="7"/>
  <c r="O11" i="7" s="1"/>
  <c r="C10" i="11"/>
  <c r="C7" i="10"/>
  <c r="C6" i="7"/>
  <c r="O6" i="7" s="1"/>
  <c r="C5" i="12"/>
  <c r="C5" i="9"/>
  <c r="C5" i="7"/>
  <c r="O5" i="7" s="1"/>
  <c r="C5" i="11"/>
  <c r="C23" i="4"/>
  <c r="C27" i="4" s="1"/>
  <c r="C21" i="4"/>
  <c r="C17" i="4"/>
  <c r="C9" i="4"/>
  <c r="C26" i="2"/>
  <c r="C23" i="2"/>
  <c r="C27" i="2" s="1"/>
  <c r="C21" i="2"/>
  <c r="C18" i="2"/>
  <c r="C17" i="2"/>
  <c r="C16" i="2"/>
  <c r="C23" i="7" l="1"/>
  <c r="D26" i="16"/>
  <c r="E26" i="16"/>
  <c r="F26" i="16"/>
  <c r="G26" i="16"/>
  <c r="H26" i="16"/>
  <c r="I26" i="16"/>
  <c r="J26" i="16"/>
  <c r="K26" i="16"/>
  <c r="L26" i="16"/>
  <c r="M26" i="16"/>
  <c r="N26" i="16"/>
  <c r="C26" i="16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O23" i="7" l="1"/>
  <c r="C26" i="7"/>
  <c r="O26" i="10"/>
  <c r="O27" i="4"/>
  <c r="O23" i="2"/>
  <c r="O27" i="10"/>
  <c r="O23" i="10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L23" i="13" l="1"/>
  <c r="M23" i="13"/>
  <c r="M27" i="13" s="1"/>
  <c r="K23" i="13"/>
  <c r="J23" i="13"/>
  <c r="I23" i="13"/>
  <c r="I27" i="13" s="1"/>
  <c r="K24" i="14"/>
  <c r="K26" i="14" s="1"/>
  <c r="K26" i="13"/>
  <c r="L24" i="14"/>
  <c r="L26" i="14" s="1"/>
  <c r="L26" i="13"/>
  <c r="J24" i="14"/>
  <c r="J26" i="13"/>
  <c r="N24" i="14"/>
  <c r="N26" i="13"/>
  <c r="N23" i="13"/>
  <c r="N27" i="13" s="1"/>
  <c r="N25" i="14"/>
  <c r="M24" i="14"/>
  <c r="M26" i="14" s="1"/>
  <c r="J25" i="14"/>
  <c r="I24" i="14"/>
  <c r="I26" i="14" s="1"/>
  <c r="L27" i="13" l="1"/>
  <c r="K27" i="13"/>
  <c r="J27" i="13"/>
  <c r="J26" i="14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C2" i="11"/>
  <c r="C2" i="8"/>
  <c r="C2" i="7"/>
  <c r="O26" i="16"/>
  <c r="O25" i="16"/>
  <c r="O24" i="16"/>
  <c r="C2" i="16"/>
  <c r="C2" i="14"/>
  <c r="C2" i="13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C23" i="13" l="1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3" i="13"/>
  <c r="F23" i="13"/>
  <c r="D23" i="13"/>
  <c r="D27" i="13" s="1"/>
  <c r="G24" i="14"/>
  <c r="G26" i="14" s="1"/>
  <c r="G26" i="13"/>
  <c r="E24" i="14"/>
  <c r="E26" i="14" s="1"/>
  <c r="E26" i="13"/>
  <c r="N23" i="14"/>
  <c r="N27" i="14" s="1"/>
  <c r="O25" i="14"/>
  <c r="O25" i="13"/>
  <c r="O26" i="2"/>
  <c r="P26" i="8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O27" i="5"/>
  <c r="O23" i="4"/>
  <c r="P5" i="4" s="1"/>
  <c r="P12" i="3"/>
  <c r="P21" i="3"/>
  <c r="P19" i="3"/>
  <c r="P24" i="3"/>
  <c r="P23" i="3"/>
  <c r="L23" i="16" l="1"/>
  <c r="L27" i="16" s="1"/>
  <c r="P23" i="6"/>
  <c r="H27" i="13"/>
  <c r="H27" i="14"/>
  <c r="H23" i="16"/>
  <c r="H27" i="16" s="1"/>
  <c r="O26" i="14"/>
  <c r="O17" i="14"/>
  <c r="F27" i="13"/>
  <c r="F23" i="16"/>
  <c r="F27" i="16" s="1"/>
  <c r="F23" i="14"/>
  <c r="F27" i="14" s="1"/>
  <c r="O21" i="14"/>
  <c r="O15" i="14"/>
  <c r="O13" i="14"/>
  <c r="O9" i="14"/>
  <c r="O11" i="14"/>
  <c r="O7" i="14"/>
  <c r="E23" i="14"/>
  <c r="E27" i="14" s="1"/>
  <c r="E23" i="16"/>
  <c r="E27" i="16" s="1"/>
  <c r="D23" i="14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6" i="11"/>
  <c r="P14" i="11"/>
  <c r="P21" i="11"/>
  <c r="P5" i="11"/>
  <c r="O23" i="17"/>
  <c r="P24" i="17" s="1"/>
  <c r="P27" i="11"/>
  <c r="P11" i="11"/>
  <c r="P19" i="11"/>
  <c r="P17" i="11"/>
  <c r="P25" i="1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26" i="11"/>
  <c r="P10" i="11"/>
  <c r="P12" i="11"/>
  <c r="P25" i="8"/>
  <c r="P23" i="8"/>
  <c r="P19" i="8"/>
  <c r="P17" i="8"/>
  <c r="P15" i="8"/>
  <c r="P13" i="8"/>
  <c r="P10" i="8"/>
  <c r="P8" i="8"/>
  <c r="P6" i="8"/>
  <c r="P22" i="8"/>
  <c r="P16" i="8"/>
  <c r="P14" i="8"/>
  <c r="P12" i="8"/>
  <c r="P11" i="8"/>
  <c r="P9" i="8"/>
  <c r="P7" i="8"/>
  <c r="P5" i="8"/>
  <c r="P23" i="7"/>
  <c r="P21" i="7"/>
  <c r="P19" i="7"/>
  <c r="P17" i="7"/>
  <c r="P15" i="7"/>
  <c r="P13" i="7"/>
  <c r="P10" i="7"/>
  <c r="P8" i="7"/>
  <c r="P6" i="7"/>
  <c r="P22" i="7"/>
  <c r="P20" i="7"/>
  <c r="P18" i="7"/>
  <c r="P16" i="7"/>
  <c r="P14" i="7"/>
  <c r="P12" i="7"/>
  <c r="P11" i="7"/>
  <c r="P9" i="7"/>
  <c r="P7" i="7"/>
  <c r="P5" i="7"/>
  <c r="P26" i="7"/>
  <c r="P25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3" l="1"/>
  <c r="D6" i="1" s="1"/>
  <c r="O23" i="16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3" l="1"/>
  <c r="P27" i="17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  <c r="P24" i="7"/>
  <c r="P21" i="8"/>
  <c r="P27" i="8"/>
  <c r="P15" i="11"/>
  <c r="P16" i="11"/>
  <c r="P24" i="11"/>
  <c r="O24" i="11"/>
  <c r="O18" i="8"/>
  <c r="P18" i="8"/>
  <c r="P20" i="8"/>
  <c r="O20" i="8"/>
  <c r="P24" i="8"/>
  <c r="O24" i="8"/>
</calcChain>
</file>

<file path=xl/sharedStrings.xml><?xml version="1.0" encoding="utf-8"?>
<sst xmlns="http://schemas.openxmlformats.org/spreadsheetml/2006/main" count="733" uniqueCount="87">
  <si>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</si>
  <si>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</si>
  <si>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</si>
  <si>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</si>
  <si>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</si>
  <si>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</si>
  <si>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</si>
  <si>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</si>
  <si>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</si>
  <si>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</si>
  <si>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</si>
  <si>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</si>
  <si>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</si>
  <si>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</si>
  <si>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</si>
  <si>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</si>
  <si>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</si>
  <si>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</si>
  <si>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</si>
  <si>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</si>
  <si>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</si>
  <si>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</si>
  <si>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</si>
  <si>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</si>
  <si>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</si>
  <si>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</si>
  <si>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</si>
  <si>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</si>
  <si>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</si>
  <si>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</si>
  <si>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</si>
  <si>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</si>
  <si>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</si>
  <si>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</si>
  <si>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</si>
  <si>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</si>
  <si>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</si>
  <si>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</si>
  <si>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</si>
  <si>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</si>
  <si>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</si>
  <si>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</si>
  <si>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</si>
  <si>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</si>
  <si>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</si>
  <si>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</si>
  <si>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</si>
  <si>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</si>
  <si>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</si>
  <si>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</si>
  <si>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</si>
  <si>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</si>
  <si>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</si>
  <si>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</si>
  <si>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</si>
  <si>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</si>
  <si>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</si>
  <si>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</si>
  <si>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</si>
  <si>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</si>
  <si>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</si>
  <si>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</si>
  <si>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</si>
  <si>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</si>
  <si>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</si>
  <si>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</si>
  <si>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</si>
  <si>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</si>
  <si>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</si>
  <si>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</si>
  <si>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</si>
  <si>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</si>
  <si>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</si>
  <si>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</si>
  <si>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</si>
  <si>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</si>
  <si>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</si>
  <si>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</si>
  <si>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</si>
  <si>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</si>
  <si>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</si>
  <si>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>เหล่าสีเสียด(ตูมใต้)</t>
  </si>
  <si>
    <t>.</t>
  </si>
  <si>
    <t>งานควบคุมโรค</t>
  </si>
  <si>
    <t xml:space="preserve"> ปีงบประมาณ   2563</t>
  </si>
  <si>
    <t xml:space="preserve">รายงานเบิก เรื้องรัง 15%  ของหน่วยงานต่างๆในCUPกุมภวาปี </t>
  </si>
  <si>
    <t>รายงานข้อมูลณ วันที่ 27/5/64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</si>
</sst>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_ ;\-#,##0.000&quot; &quot;"/>
    <numFmt numFmtId="192" formatCode="#,##0.000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6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190" fontId="13" fillId="4" borderId="1" xfId="0" applyNumberFormat="1" applyFont="1" applyFill="1" applyBorder="1" applyAlignment="1">
      <alignment horizontal="right" vertical="center" shrinkToFit="1"/>
    </xf>
    <xf numFmtId="191" fontId="13" fillId="4" borderId="1" xfId="2" applyNumberFormat="1" applyFont="1" applyFill="1" applyBorder="1" applyAlignment="1">
      <alignment horizontal="right" vertical="center" shrinkToFit="1"/>
    </xf>
    <xf numFmtId="192" fontId="10" fillId="4" borderId="1" xfId="2" applyNumberFormat="1" applyFont="1" applyFill="1" applyBorder="1" applyAlignment="1">
      <alignment horizontal="right" vertical="center" shrinkToFit="1"/>
    </xf>
    <xf numFmtId="190" fontId="17" fillId="5" borderId="1" xfId="0" applyNumberFormat="1" applyFont="1" applyFill="1" applyBorder="1" applyAlignment="1">
      <alignment horizontal="right" vertical="center" shrinkToFit="1"/>
    </xf>
    <xf numFmtId="190" fontId="6" fillId="2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76</v>
      </c>
    </row>
    <row r="3" spans="2:5" s="226" customFormat="1" ht="27" customHeight="1" x14ac:dyDescent="0.2">
      <c r="B3" s="224"/>
      <c r="C3" s="228" t="s">
        <v>84</v>
      </c>
      <c r="E3" s="229"/>
    </row>
    <row r="4" spans="2:5" s="226" customFormat="1" ht="22.5" customHeight="1" x14ac:dyDescent="0.2">
      <c r="B4" s="224"/>
      <c r="C4" s="230"/>
      <c r="D4" s="231" t="s">
        <v>86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242670</v>
      </c>
      <c r="E5" s="223"/>
    </row>
    <row r="6" spans="2:5" ht="30" customHeight="1" x14ac:dyDescent="0.2">
      <c r="B6" s="234">
        <v>1</v>
      </c>
      <c r="C6" s="235" t="s">
        <v>73</v>
      </c>
      <c r="D6" s="236">
        <f>'1.1รวมยาทั้งหมด(1+2+3+4)'!O27</f>
        <v>3592757.86</v>
      </c>
    </row>
    <row r="7" spans="2:5" ht="30" customHeight="1" x14ac:dyDescent="0.2">
      <c r="B7" s="234">
        <v>2</v>
      </c>
      <c r="C7" s="235" t="s">
        <v>74</v>
      </c>
      <c r="D7" s="236">
        <f>'1.2 ยาทั้งหมดรวมvaccin'!O27</f>
        <v>4533535.1099999994</v>
      </c>
    </row>
    <row r="8" spans="2:5" ht="60.75" customHeight="1" x14ac:dyDescent="0.2">
      <c r="B8" s="234">
        <v>3</v>
      </c>
      <c r="C8" s="237" t="s">
        <v>78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77</v>
      </c>
      <c r="D9" s="238">
        <f>D7+D8</f>
        <v>4533535.1099999994</v>
      </c>
    </row>
    <row r="10" spans="2:5" ht="12" customHeight="1" x14ac:dyDescent="0.2"/>
    <row r="11" spans="2:5" ht="23.25" customHeight="1" x14ac:dyDescent="0.2">
      <c r="B11" s="239" t="s">
        <v>75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2563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27/5/64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67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68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8"/>
      <c r="P28" s="353"/>
    </row>
    <row r="29" spans="1:16" s="115" customFormat="1" ht="18" customHeight="1" x14ac:dyDescent="0.45">
      <c r="A29" s="254"/>
      <c r="B29" s="256"/>
      <c r="L29" s="364" t="s">
        <v>49</v>
      </c>
      <c r="M29" s="364"/>
      <c r="N29" s="364"/>
      <c r="O29" s="308"/>
      <c r="P29" s="353"/>
    </row>
    <row r="30" spans="1:16" s="115" customFormat="1" ht="18" customHeight="1" x14ac:dyDescent="0.45">
      <c r="A30" s="254"/>
      <c r="B30" s="256"/>
      <c r="G30" s="364" t="s">
        <v>79</v>
      </c>
      <c r="H30" s="364"/>
      <c r="I30" s="364"/>
      <c r="J30" s="121"/>
      <c r="K30" s="121"/>
      <c r="L30" s="364"/>
      <c r="M30" s="364"/>
      <c r="N30" s="364"/>
      <c r="O30" s="308"/>
      <c r="P30" s="353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8"/>
      <c r="P31" s="353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8"/>
      <c r="P32" s="353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8"/>
      <c r="P33" s="353"/>
    </row>
    <row r="34" spans="1:16" s="115" customFormat="1" ht="18" customHeight="1" x14ac:dyDescent="0.45">
      <c r="A34" s="254"/>
      <c r="B34" s="256"/>
      <c r="O34" s="308"/>
      <c r="P34" s="353"/>
    </row>
    <row r="35" spans="1:16" s="115" customFormat="1" ht="18" customHeight="1" x14ac:dyDescent="0.45">
      <c r="A35" s="254"/>
      <c r="B35" s="256"/>
      <c r="O35" s="308"/>
      <c r="P35" s="353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opLeftCell="B1" zoomScale="172" zoomScaleNormal="172" workbookViewId="0">
      <selection activeCell="J26" sqref="J26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56</v>
      </c>
      <c r="E1" s="9"/>
      <c r="F1" s="9"/>
      <c r="G1" s="9"/>
      <c r="H1" s="9"/>
      <c r="K1" s="10" t="str">
        <f>สรุปยอด!C3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27/5/64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15539.71-158-72.5-72.5-550-440-550-225-1800</f>
        <v>11671.71</v>
      </c>
      <c r="D5" s="36">
        <f>15339.74-158-550-330-1560-2700-345+750+4302.5</f>
        <v>14749.24</v>
      </c>
      <c r="E5" s="36">
        <f>14345.17-1560-145-550-225</f>
        <v>11865.17</v>
      </c>
      <c r="F5" s="36">
        <f>18530.3-1560-550-1100+1320</f>
        <v>16640.3</v>
      </c>
      <c r="G5" s="36">
        <f>19261.48-520-3600-575-1100-550-225-75-300-325-325</f>
        <v>11666.48</v>
      </c>
      <c r="H5" s="36">
        <f>12794.29-1040-145-550-1100-350+2942.5</f>
        <v>12551.79</v>
      </c>
      <c r="I5" s="36">
        <f>16467.7-2610+2400</f>
        <v>16257.7</v>
      </c>
      <c r="J5" s="36">
        <f>18316.9-1300-780-550-550-325+1209.1</f>
        <v>16021.000000000002</v>
      </c>
      <c r="K5" s="36"/>
      <c r="L5" s="36"/>
      <c r="M5" s="36"/>
      <c r="N5" s="36"/>
      <c r="O5" s="354">
        <f t="shared" ref="O5:O23" si="0">SUM(C5:N5)</f>
        <v>111423.39</v>
      </c>
      <c r="P5" s="286">
        <f t="shared" ref="P5:P26" si="1">O5/$O$23</f>
        <v>0.16017657528534682</v>
      </c>
    </row>
    <row r="6" spans="1:17" ht="17.25" customHeight="1" x14ac:dyDescent="0.2">
      <c r="A6" s="25">
        <v>2</v>
      </c>
      <c r="B6" s="26" t="s">
        <v>19</v>
      </c>
      <c r="C6" s="36">
        <f>5210-780</f>
        <v>4430</v>
      </c>
      <c r="D6" s="36">
        <v>8502.9</v>
      </c>
      <c r="E6" s="36">
        <f>3892.67+170-1560</f>
        <v>2502.67</v>
      </c>
      <c r="F6" s="36">
        <f>10436.25+175-237+1430+1900</f>
        <v>13704.25</v>
      </c>
      <c r="G6" s="36">
        <f>5436.12-225+770</f>
        <v>5981.12</v>
      </c>
      <c r="H6" s="36">
        <f>1241.2+11632.72-1560+770</f>
        <v>12083.92</v>
      </c>
      <c r="I6" s="36">
        <f>4540.75-225+770+200+140+814.82</f>
        <v>6240.57</v>
      </c>
      <c r="J6" s="36">
        <v>7484.15</v>
      </c>
      <c r="K6" s="36"/>
      <c r="L6" s="36"/>
      <c r="M6" s="36"/>
      <c r="N6" s="36"/>
      <c r="O6" s="354">
        <f t="shared" si="0"/>
        <v>60929.58</v>
      </c>
      <c r="P6" s="286">
        <f t="shared" si="1"/>
        <v>8.7589252651302046E-2</v>
      </c>
    </row>
    <row r="7" spans="1:17" ht="17.25" customHeight="1" x14ac:dyDescent="0.2">
      <c r="A7" s="25">
        <v>3</v>
      </c>
      <c r="B7" s="26" t="s">
        <v>20</v>
      </c>
      <c r="C7" s="36">
        <f>390+221.25+88.5+2630.4</f>
        <v>3330.15</v>
      </c>
      <c r="D7" s="36">
        <f>650+6743.5-110</f>
        <v>7283.5</v>
      </c>
      <c r="E7" s="36">
        <f>2138.24+260-190-79</f>
        <v>2129.2399999999998</v>
      </c>
      <c r="F7" s="36">
        <v>4414.6000000000004</v>
      </c>
      <c r="G7" s="36">
        <v>1756</v>
      </c>
      <c r="H7" s="36">
        <f>7468.4-1560-700+1540</f>
        <v>6748.4</v>
      </c>
      <c r="I7" s="36">
        <f>6264.57+2390</f>
        <v>8654.57</v>
      </c>
      <c r="J7" s="36">
        <f>4046.26-1050-650+1155</f>
        <v>3501.26</v>
      </c>
      <c r="K7" s="36"/>
      <c r="L7" s="36"/>
      <c r="M7" s="36"/>
      <c r="N7" s="36"/>
      <c r="O7" s="354">
        <f t="shared" si="0"/>
        <v>37817.72</v>
      </c>
      <c r="P7" s="286">
        <f t="shared" si="1"/>
        <v>5.4364822993629672E-2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95+13987.35-225-550-3600-750</f>
        <v>8957.35</v>
      </c>
      <c r="E8" s="36">
        <f>22741.9-1125-5400-1499.7-1100-550-220-220</f>
        <v>12627.2</v>
      </c>
      <c r="F8" s="36">
        <v>0</v>
      </c>
      <c r="G8" s="36">
        <f>4526.8-535-520-225-150-375+276</f>
        <v>2997.8</v>
      </c>
      <c r="H8" s="36">
        <f>7352.95-550</f>
        <v>6802.95</v>
      </c>
      <c r="I8" s="36">
        <f>6619.7+1284+1358.18</f>
        <v>9261.8799999999992</v>
      </c>
      <c r="J8" s="36">
        <f>3198.25</f>
        <v>3198.25</v>
      </c>
      <c r="K8" s="36"/>
      <c r="L8" s="36"/>
      <c r="M8" s="36"/>
      <c r="N8" s="36"/>
      <c r="O8" s="354">
        <f t="shared" si="0"/>
        <v>43845.43</v>
      </c>
      <c r="P8" s="286">
        <f t="shared" si="1"/>
        <v>6.3029951066049986E-2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f>4198.5-750-400-220</f>
        <v>2828.5</v>
      </c>
      <c r="E9" s="36">
        <v>0</v>
      </c>
      <c r="F9" s="36">
        <f>4793.18-112-75-225+6966.04-1400</f>
        <v>9947.2200000000012</v>
      </c>
      <c r="G9" s="36">
        <v>426.8</v>
      </c>
      <c r="H9" s="36">
        <f>5608.2-224-220-1050</f>
        <v>4114.2</v>
      </c>
      <c r="I9" s="36">
        <f>6092-115-550-550</f>
        <v>4877</v>
      </c>
      <c r="J9" s="36">
        <f>600+186.18+171.2+500+385</f>
        <v>1842.38</v>
      </c>
      <c r="K9" s="36"/>
      <c r="L9" s="36"/>
      <c r="M9" s="36"/>
      <c r="N9" s="36"/>
      <c r="O9" s="354">
        <f t="shared" si="0"/>
        <v>24036.100000000002</v>
      </c>
      <c r="P9" s="286">
        <f t="shared" si="1"/>
        <v>3.4553069882509634E-2</v>
      </c>
    </row>
    <row r="10" spans="1:17" ht="17.25" customHeight="1" x14ac:dyDescent="0.2">
      <c r="A10" s="25">
        <v>6</v>
      </c>
      <c r="B10" s="26" t="s">
        <v>3</v>
      </c>
      <c r="C10" s="36">
        <v>3356</v>
      </c>
      <c r="D10" s="36">
        <f>4198.5-750-400-220</f>
        <v>2828.5</v>
      </c>
      <c r="E10" s="36">
        <v>3840</v>
      </c>
      <c r="F10" s="36">
        <f>310.3+74.9+160+130</f>
        <v>675.2</v>
      </c>
      <c r="G10" s="36">
        <f>2388.75+3664.75+95</f>
        <v>6148.5</v>
      </c>
      <c r="H10" s="36">
        <v>4251.78</v>
      </c>
      <c r="I10" s="36">
        <f>6683.66-225-225</f>
        <v>6233.66</v>
      </c>
      <c r="J10" s="36">
        <f>328.1+685</f>
        <v>1013.1</v>
      </c>
      <c r="K10" s="36"/>
      <c r="L10" s="36"/>
      <c r="M10" s="36"/>
      <c r="N10" s="36"/>
      <c r="O10" s="354">
        <f t="shared" si="0"/>
        <v>28346.739999999998</v>
      </c>
      <c r="P10" s="286">
        <f t="shared" si="1"/>
        <v>4.074982581039898E-2</v>
      </c>
    </row>
    <row r="11" spans="1:17" ht="17.25" customHeight="1" x14ac:dyDescent="0.2">
      <c r="A11" s="25">
        <v>7</v>
      </c>
      <c r="B11" s="26" t="s">
        <v>4</v>
      </c>
      <c r="C11" s="36">
        <f>5405.58-115-190-145-700</f>
        <v>4255.58</v>
      </c>
      <c r="D11" s="36">
        <f>3562.95-145-1050</f>
        <v>2367.9499999999998</v>
      </c>
      <c r="E11" s="36">
        <f>7710.4-75-550-280-700+155</f>
        <v>6260.4</v>
      </c>
      <c r="F11" s="36">
        <f>5901.45-175</f>
        <v>5726.45</v>
      </c>
      <c r="G11" s="36">
        <f>9503.6-375-1800-145-350-350</f>
        <v>6483.6</v>
      </c>
      <c r="H11" s="36">
        <f>8192.72-700-350+385+1284</f>
        <v>8811.7199999999993</v>
      </c>
      <c r="I11" s="36">
        <v>7193.35</v>
      </c>
      <c r="J11" s="36">
        <f>6110.28-110-385</f>
        <v>5615.28</v>
      </c>
      <c r="K11" s="36"/>
      <c r="L11" s="36"/>
      <c r="M11" s="36"/>
      <c r="N11" s="36"/>
      <c r="O11" s="354">
        <f t="shared" si="0"/>
        <v>46714.33</v>
      </c>
      <c r="P11" s="286">
        <f t="shared" si="1"/>
        <v>6.7154135196833761E-2</v>
      </c>
    </row>
    <row r="12" spans="1:17" ht="17.25" customHeight="1" x14ac:dyDescent="0.2">
      <c r="A12" s="25">
        <v>8</v>
      </c>
      <c r="B12" s="26" t="s">
        <v>5</v>
      </c>
      <c r="C12" s="36">
        <f>2745.5-330</f>
        <v>2415.5</v>
      </c>
      <c r="D12" s="36">
        <f>5902.58-1240-550-300+1660</f>
        <v>5472.58</v>
      </c>
      <c r="E12" s="36">
        <f>8698-1300-79-550-330+128.4+475</f>
        <v>7042.4</v>
      </c>
      <c r="F12" s="36">
        <f>712.56-260+4386-110+1251.82-150</f>
        <v>5830.3799999999992</v>
      </c>
      <c r="G12" s="36">
        <f>7389.2-3600-190-79+800+117.7+1240+802.05+230+330</f>
        <v>7039.95</v>
      </c>
      <c r="H12" s="36">
        <f>3049.1-2080-330+256.8+992+330+743.78</f>
        <v>2961.6799999999994</v>
      </c>
      <c r="I12" s="36">
        <f>3333.81-220+2472.2</f>
        <v>5586.01</v>
      </c>
      <c r="J12" s="36">
        <f>186.68+256.8+475+165+54.59+166.92+256.8+165</f>
        <v>1726.79</v>
      </c>
      <c r="K12" s="36"/>
      <c r="L12" s="36"/>
      <c r="M12" s="36"/>
      <c r="N12" s="36"/>
      <c r="O12" s="354">
        <f t="shared" si="0"/>
        <v>38075.29</v>
      </c>
      <c r="P12" s="286">
        <f t="shared" si="1"/>
        <v>5.4735092472024169E-2</v>
      </c>
    </row>
    <row r="13" spans="1:17" ht="17.25" customHeight="1" x14ac:dyDescent="0.2">
      <c r="A13" s="25">
        <v>9</v>
      </c>
      <c r="B13" s="26" t="s">
        <v>6</v>
      </c>
      <c r="C13" s="36">
        <f>208+168</f>
        <v>376</v>
      </c>
      <c r="D13" s="36">
        <f>4861.48+4946.26</f>
        <v>9807.74</v>
      </c>
      <c r="E13" s="36">
        <f>4921+580-230-220</f>
        <v>5051</v>
      </c>
      <c r="F13" s="36">
        <f>1039.08-190</f>
        <v>849.07999999999993</v>
      </c>
      <c r="G13" s="36">
        <f>1783.8-720</f>
        <v>1063.8</v>
      </c>
      <c r="H13" s="36">
        <f>6234.64-115-330-220-700</f>
        <v>4869.6400000000003</v>
      </c>
      <c r="I13" s="36">
        <f>2899.2-225</f>
        <v>2674.2</v>
      </c>
      <c r="J13" s="36">
        <f>8697.64-500-330-104.11-1044</f>
        <v>6719.53</v>
      </c>
      <c r="K13" s="36"/>
      <c r="L13" s="36"/>
      <c r="M13" s="36"/>
      <c r="N13" s="36"/>
      <c r="O13" s="354">
        <f t="shared" si="0"/>
        <v>31410.989999999998</v>
      </c>
      <c r="P13" s="286">
        <f t="shared" si="1"/>
        <v>4.5154835125033224E-2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f>4647.62-1080-550</f>
        <v>3017.62</v>
      </c>
      <c r="E14" s="36">
        <f>2312.72-175-75-110-220</f>
        <v>1732.7199999999998</v>
      </c>
      <c r="F14" s="36">
        <f>1305.36-375+525+2125+89.88</f>
        <v>3670.24</v>
      </c>
      <c r="G14" s="36">
        <f>3490.2-79-110-110-65+804.74</f>
        <v>3930.9399999999996</v>
      </c>
      <c r="H14" s="36">
        <v>1390.49</v>
      </c>
      <c r="I14" s="36">
        <f>4783.6-175-130</f>
        <v>4478.6000000000004</v>
      </c>
      <c r="J14" s="36">
        <f>1060.02+62.06+540+385.2</f>
        <v>2047.28</v>
      </c>
      <c r="K14" s="36"/>
      <c r="L14" s="36"/>
      <c r="M14" s="36"/>
      <c r="N14" s="36"/>
      <c r="O14" s="354">
        <f t="shared" si="0"/>
        <v>20267.89</v>
      </c>
      <c r="P14" s="286">
        <f t="shared" si="1"/>
        <v>2.9136083621761354E-2</v>
      </c>
    </row>
    <row r="15" spans="1:17" ht="17.25" customHeight="1" x14ac:dyDescent="0.2">
      <c r="A15" s="25">
        <v>11</v>
      </c>
      <c r="B15" s="26" t="s">
        <v>8</v>
      </c>
      <c r="C15" s="36">
        <f>7296.5-1100-220-975</f>
        <v>5001.5</v>
      </c>
      <c r="D15" s="36">
        <f>8672.4-550</f>
        <v>8122.4</v>
      </c>
      <c r="E15" s="36">
        <f>2595.46-150+575+224.7+2430-1800-220</f>
        <v>3655.16</v>
      </c>
      <c r="F15" s="36">
        <v>3314.3</v>
      </c>
      <c r="G15" s="36">
        <f>171.2+420+995.1+950+1540</f>
        <v>4076.3</v>
      </c>
      <c r="H15" s="36">
        <f>85+150+171.2+38.3+475</f>
        <v>919.5</v>
      </c>
      <c r="I15" s="36">
        <f>2745+8069.715-1740-220</f>
        <v>8854.7150000000001</v>
      </c>
      <c r="J15" s="36">
        <f>187.8+4423.67-650</f>
        <v>3961.4700000000003</v>
      </c>
      <c r="K15" s="36"/>
      <c r="L15" s="36"/>
      <c r="M15" s="36"/>
      <c r="N15" s="36"/>
      <c r="O15" s="354">
        <f t="shared" si="0"/>
        <v>37905.345000000001</v>
      </c>
      <c r="P15" s="286">
        <f t="shared" si="1"/>
        <v>5.449078821878911E-2</v>
      </c>
    </row>
    <row r="16" spans="1:17" ht="17.25" customHeight="1" x14ac:dyDescent="0.2">
      <c r="A16" s="25">
        <v>12</v>
      </c>
      <c r="B16" s="26" t="s">
        <v>9</v>
      </c>
      <c r="C16" s="36">
        <f>1760.5-267.5</f>
        <v>1493</v>
      </c>
      <c r="D16" s="36">
        <f>3103.8-150-75-900</f>
        <v>1978.8000000000002</v>
      </c>
      <c r="E16" s="36">
        <f>475+312+100+115+375</f>
        <v>1377</v>
      </c>
      <c r="F16" s="36">
        <f>4831.23-500+70+58+115+200</f>
        <v>4774.2299999999996</v>
      </c>
      <c r="G16" s="36">
        <f>2113.2-150-220-75+628.68+224.7+603.9</f>
        <v>3125.4799999999996</v>
      </c>
      <c r="H16" s="36">
        <f>2003.98-175</f>
        <v>1828.98</v>
      </c>
      <c r="I16" s="36">
        <f>2094.3</f>
        <v>2094.3000000000002</v>
      </c>
      <c r="J16" s="36">
        <f>3753.47-220</f>
        <v>3533.47</v>
      </c>
      <c r="K16" s="36"/>
      <c r="L16" s="36"/>
      <c r="M16" s="36"/>
      <c r="N16" s="36"/>
      <c r="O16" s="354">
        <f t="shared" si="0"/>
        <v>20205.259999999998</v>
      </c>
      <c r="P16" s="286">
        <f t="shared" si="1"/>
        <v>2.9046049932155236E-2</v>
      </c>
    </row>
    <row r="17" spans="1:16" ht="17.25" customHeight="1" x14ac:dyDescent="0.2">
      <c r="A17" s="25">
        <v>13</v>
      </c>
      <c r="B17" s="26" t="s">
        <v>10</v>
      </c>
      <c r="C17" s="36">
        <f>3371.24-750-1185-325</f>
        <v>1111.2399999999998</v>
      </c>
      <c r="D17" s="36">
        <v>6882.3</v>
      </c>
      <c r="E17" s="36">
        <f>5697+89.88+43.22-1225-220</f>
        <v>4385.1000000000004</v>
      </c>
      <c r="F17" s="36">
        <f>3503.08+171.2</f>
        <v>3674.2799999999997</v>
      </c>
      <c r="G17" s="36">
        <f>250+680+85.6+192.5</f>
        <v>1208.0999999999999</v>
      </c>
      <c r="H17" s="36">
        <f>7411.3-325-150-700</f>
        <v>6236.3</v>
      </c>
      <c r="I17" s="36">
        <f>3614-1740+952.95</f>
        <v>2826.95</v>
      </c>
      <c r="J17" s="36">
        <f>2576.82-150-700-70</f>
        <v>1656.8200000000002</v>
      </c>
      <c r="K17" s="36"/>
      <c r="L17" s="36"/>
      <c r="M17" s="36"/>
      <c r="N17" s="36"/>
      <c r="O17" s="354">
        <f t="shared" si="0"/>
        <v>27981.089999999997</v>
      </c>
      <c r="P17" s="286">
        <f t="shared" si="1"/>
        <v>4.0224186043442627E-2</v>
      </c>
    </row>
    <row r="18" spans="1:16" ht="17.25" customHeight="1" x14ac:dyDescent="0.2">
      <c r="A18" s="25">
        <v>14</v>
      </c>
      <c r="B18" s="26" t="s">
        <v>11</v>
      </c>
      <c r="C18" s="36">
        <f>5859.95-900-440-350-175-525-325</f>
        <v>3144.95</v>
      </c>
      <c r="D18" s="36">
        <f>3028.26-190</f>
        <v>2838.26</v>
      </c>
      <c r="E18" s="36">
        <f>730+428.76+429.07</f>
        <v>1587.83</v>
      </c>
      <c r="F18" s="36">
        <f>260+1369.37+134.82</f>
        <v>1764.1899999999998</v>
      </c>
      <c r="G18" s="36">
        <f>10735.16-190-350-105-195</f>
        <v>9895.16</v>
      </c>
      <c r="H18" s="36">
        <f>4552.99-350-225</f>
        <v>3977.99</v>
      </c>
      <c r="I18" s="36">
        <f>3676.44-500</f>
        <v>3176.44</v>
      </c>
      <c r="J18" s="36">
        <f>120.91+3250.25-79-110-99.89-225-175-175+310.3+700</f>
        <v>3517.57</v>
      </c>
      <c r="K18" s="36"/>
      <c r="L18" s="36"/>
      <c r="M18" s="36"/>
      <c r="N18" s="36"/>
      <c r="O18" s="354">
        <f t="shared" si="0"/>
        <v>29902.389999999996</v>
      </c>
      <c r="P18" s="286">
        <f t="shared" si="1"/>
        <v>4.2986148806339504E-2</v>
      </c>
    </row>
    <row r="19" spans="1:16" ht="17.25" customHeight="1" x14ac:dyDescent="0.2">
      <c r="A19" s="25">
        <v>15</v>
      </c>
      <c r="B19" s="26" t="s">
        <v>12</v>
      </c>
      <c r="C19" s="36">
        <v>2637.5</v>
      </c>
      <c r="D19" s="36">
        <f>15084.13-300</f>
        <v>14784.13</v>
      </c>
      <c r="E19" s="36">
        <f>4110.74-720-150+186.18</f>
        <v>3426.9199999999996</v>
      </c>
      <c r="F19" s="36">
        <f>8592.4+385</f>
        <v>8977.4</v>
      </c>
      <c r="G19" s="36">
        <f>4296.01-1800</f>
        <v>2496.0100000000002</v>
      </c>
      <c r="H19" s="36">
        <f>4276.61-1040+3696.91-440-440</f>
        <v>6053.5199999999995</v>
      </c>
      <c r="I19" s="36">
        <f>1047.5+7068.95-520-870</f>
        <v>6726.45</v>
      </c>
      <c r="J19" s="36">
        <f>2597.34+324.4</f>
        <v>2921.7400000000002</v>
      </c>
      <c r="K19" s="36"/>
      <c r="L19" s="36"/>
      <c r="M19" s="36"/>
      <c r="N19" s="36"/>
      <c r="O19" s="354">
        <f t="shared" si="0"/>
        <v>48023.669999999991</v>
      </c>
      <c r="P19" s="286">
        <f t="shared" si="1"/>
        <v>6.9036375515353188E-2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f>642+642+695+2782</f>
        <v>4761</v>
      </c>
      <c r="E20" s="36">
        <f>3892.54</f>
        <v>3892.54</v>
      </c>
      <c r="F20" s="36">
        <v>2345.04</v>
      </c>
      <c r="G20" s="36">
        <v>0</v>
      </c>
      <c r="H20" s="36">
        <f>3908.88-1050</f>
        <v>2858.88</v>
      </c>
      <c r="I20" s="36">
        <f>1654.22+4378.32</f>
        <v>6032.54</v>
      </c>
      <c r="J20" s="36">
        <f>770+1000+128.4+660</f>
        <v>2558.4</v>
      </c>
      <c r="K20" s="36"/>
      <c r="L20" s="36"/>
      <c r="M20" s="36"/>
      <c r="N20" s="36"/>
      <c r="O20" s="354">
        <f t="shared" si="0"/>
        <v>22448.400000000005</v>
      </c>
      <c r="P20" s="286">
        <f t="shared" si="1"/>
        <v>3.227067344330109E-2</v>
      </c>
    </row>
    <row r="21" spans="1:16" ht="17.25" customHeight="1" x14ac:dyDescent="0.2">
      <c r="A21" s="25">
        <v>17</v>
      </c>
      <c r="B21" s="26" t="s">
        <v>14</v>
      </c>
      <c r="C21" s="36">
        <f>5762.5-267+2650-1800</f>
        <v>6345.5</v>
      </c>
      <c r="D21" s="36">
        <f>4408.72-735-150</f>
        <v>3523.7200000000003</v>
      </c>
      <c r="E21" s="36">
        <f>5375+400</f>
        <v>5775</v>
      </c>
      <c r="F21" s="36">
        <f>7671.9-500</f>
        <v>7171.9</v>
      </c>
      <c r="G21" s="36">
        <f>5156.97+1180</f>
        <v>6336.97</v>
      </c>
      <c r="H21" s="36">
        <f>5269.6+385</f>
        <v>5654.6</v>
      </c>
      <c r="I21" s="36">
        <f>684.8+385+5211.42-150+256.8</f>
        <v>6388.02</v>
      </c>
      <c r="J21" s="36">
        <f>738.3+950+385</f>
        <v>2073.3000000000002</v>
      </c>
      <c r="K21" s="36"/>
      <c r="L21" s="36"/>
      <c r="M21" s="36"/>
      <c r="N21" s="36"/>
      <c r="O21" s="354">
        <f t="shared" si="0"/>
        <v>43269.010000000009</v>
      </c>
      <c r="P21" s="286">
        <f t="shared" si="1"/>
        <v>6.2201319110712978E-2</v>
      </c>
    </row>
    <row r="22" spans="1:16" ht="17.25" customHeight="1" x14ac:dyDescent="0.2">
      <c r="A22" s="25">
        <v>18</v>
      </c>
      <c r="B22" s="26" t="s">
        <v>15</v>
      </c>
      <c r="C22" s="36">
        <f>3271.5-110</f>
        <v>3161.5</v>
      </c>
      <c r="D22" s="36">
        <f>6257.18-200-110-225-1800+269.64+280+600</f>
        <v>5071.8200000000006</v>
      </c>
      <c r="E22" s="36">
        <v>0</v>
      </c>
      <c r="F22" s="36">
        <f>3065.77-200</f>
        <v>2865.77</v>
      </c>
      <c r="G22" s="36">
        <v>428</v>
      </c>
      <c r="H22" s="36">
        <f>2762.85+385-500</f>
        <v>2647.85</v>
      </c>
      <c r="I22" s="36">
        <f>171.2+89.8+577.8+2605.4+235.4+64.2</f>
        <v>3743.7999999999997</v>
      </c>
      <c r="J22" s="36">
        <v>5535.13</v>
      </c>
      <c r="K22" s="36"/>
      <c r="L22" s="36"/>
      <c r="M22" s="36"/>
      <c r="N22" s="36"/>
      <c r="O22" s="354">
        <f t="shared" si="0"/>
        <v>23453.870000000003</v>
      </c>
      <c r="P22" s="286">
        <f t="shared" si="1"/>
        <v>3.3716085767878157E-2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C22+C21+C20+C19+C18+C17+C16+C15+C14+C13+C12+C11+C10+C9+C8+C7+C6+C5</f>
        <v>52730.130000000005</v>
      </c>
      <c r="D23" s="42">
        <f>D21+D22+D20+D19+D18+D17+D16+D15+D14+D13+D12+D11+D10+D9+D8+D7+D6+D5</f>
        <v>113778.31000000001</v>
      </c>
      <c r="E23" s="42">
        <f>E21+E20+E19+E18+E17+E16+E15+E14+E13+E12+E11+E10+E9+E8+E7+E6+E5</f>
        <v>77150.350000000006</v>
      </c>
      <c r="F23" s="42">
        <f>F21+F22+F20+F19+F18+F17+F16+F15+F14+F13++F12+F11+F10+F9+F8+F7+F6+F5</f>
        <v>96344.83</v>
      </c>
      <c r="G23" s="42">
        <f>G5+G6+G7+G8+G9+G10+G11+G12+G13+G14+G15+G16+G17+G18+G19+G20+G20+G20+G21</f>
        <v>74633.009999999995</v>
      </c>
      <c r="H23" s="42">
        <f>SUM(H5:H22)</f>
        <v>94764.190000000017</v>
      </c>
      <c r="I23" s="42">
        <f>SUM(I5:I22)</f>
        <v>111300.755</v>
      </c>
      <c r="J23" s="42">
        <f>SUM(J5:J22)</f>
        <v>74926.920000000013</v>
      </c>
      <c r="K23" s="42"/>
      <c r="L23" s="42"/>
      <c r="M23" s="42"/>
      <c r="N23" s="42"/>
      <c r="O23" s="53">
        <f t="shared" si="0"/>
        <v>695628.495</v>
      </c>
      <c r="P23" s="287">
        <f t="shared" si="1"/>
        <v>1</v>
      </c>
    </row>
    <row r="24" spans="1:16" ht="17.25" customHeight="1" x14ac:dyDescent="0.2">
      <c r="A24" s="30">
        <v>19</v>
      </c>
      <c r="B24" s="31" t="s">
        <v>16</v>
      </c>
      <c r="C24" s="36">
        <f>17026.7-72.5-550</f>
        <v>16404.2</v>
      </c>
      <c r="D24" s="36">
        <f>15222.03-1100</f>
        <v>14122.03</v>
      </c>
      <c r="E24" s="36">
        <f>19963.06-550+11787.98-1100-190</f>
        <v>29911.040000000001</v>
      </c>
      <c r="F24" s="36">
        <f>7385.21+1091.8</f>
        <v>8477.01</v>
      </c>
      <c r="G24" s="36">
        <f>20093.9-550+3080</f>
        <v>22623.9</v>
      </c>
      <c r="H24" s="36">
        <f>13269.9+2450.05+2996</f>
        <v>18715.95</v>
      </c>
      <c r="I24" s="36">
        <v>8484.15</v>
      </c>
      <c r="J24" s="36">
        <f>2400+6279.2-1100+3850+7795.59-1100</f>
        <v>18124.79</v>
      </c>
      <c r="K24" s="36"/>
      <c r="L24" s="36"/>
      <c r="M24" s="36"/>
      <c r="N24" s="36"/>
      <c r="O24" s="354">
        <f>SUM(C24:M24)</f>
        <v>136863.06999999998</v>
      </c>
      <c r="P24" s="286">
        <f t="shared" si="1"/>
        <v>0.19674736009771995</v>
      </c>
    </row>
    <row r="25" spans="1:16" s="48" customFormat="1" ht="17.25" customHeight="1" x14ac:dyDescent="0.2">
      <c r="A25" s="49" t="s">
        <v>54</v>
      </c>
      <c r="B25" s="151" t="s">
        <v>23</v>
      </c>
      <c r="C25" s="41">
        <f t="shared" ref="C25:H25" si="2">C24</f>
        <v>16404.2</v>
      </c>
      <c r="D25" s="41">
        <f t="shared" si="2"/>
        <v>14122.03</v>
      </c>
      <c r="E25" s="41">
        <f t="shared" si="2"/>
        <v>29911.040000000001</v>
      </c>
      <c r="F25" s="41">
        <f t="shared" si="2"/>
        <v>8477.01</v>
      </c>
      <c r="G25" s="41">
        <f t="shared" si="2"/>
        <v>22623.9</v>
      </c>
      <c r="H25" s="41">
        <f t="shared" si="2"/>
        <v>18715.95</v>
      </c>
      <c r="I25" s="41">
        <f>I24</f>
        <v>8484.15</v>
      </c>
      <c r="J25" s="41">
        <f>J24</f>
        <v>18124.79</v>
      </c>
      <c r="K25" s="41"/>
      <c r="L25" s="41"/>
      <c r="M25" s="41"/>
      <c r="N25" s="41"/>
      <c r="O25" s="354">
        <f>SUM(C25:M25)</f>
        <v>136863.06999999998</v>
      </c>
      <c r="P25" s="288">
        <f t="shared" si="1"/>
        <v>0.19674736009771995</v>
      </c>
    </row>
    <row r="26" spans="1:16" s="55" customFormat="1" ht="17.25" customHeight="1" x14ac:dyDescent="0.2">
      <c r="A26" s="202" t="s">
        <v>26</v>
      </c>
      <c r="B26" s="207" t="s">
        <v>25</v>
      </c>
      <c r="C26" s="278">
        <f>C24+C23</f>
        <v>69134.33</v>
      </c>
      <c r="D26" s="278">
        <f>D24+D23</f>
        <v>127900.34000000001</v>
      </c>
      <c r="E26" s="278">
        <f>E24+E23</f>
        <v>107061.39000000001</v>
      </c>
      <c r="F26" s="278">
        <f>F24+F23</f>
        <v>104821.84</v>
      </c>
      <c r="G26" s="278">
        <f>G23+G24</f>
        <v>97256.91</v>
      </c>
      <c r="H26" s="278">
        <f>H23+H24</f>
        <v>113480.14000000001</v>
      </c>
      <c r="I26" s="278">
        <f>SUM(I23:I24)</f>
        <v>119784.905</v>
      </c>
      <c r="J26" s="278">
        <f>J23+J24</f>
        <v>93051.710000000021</v>
      </c>
      <c r="K26" s="278"/>
      <c r="L26" s="278"/>
      <c r="M26" s="278"/>
      <c r="N26" s="278"/>
      <c r="O26" s="278">
        <f>SUM(C26:N26)</f>
        <v>832491.56500000018</v>
      </c>
      <c r="P26" s="289">
        <f t="shared" si="1"/>
        <v>1.1967473600977203</v>
      </c>
    </row>
    <row r="27" spans="1:16" s="114" customFormat="1" ht="18" customHeight="1" x14ac:dyDescent="0.45">
      <c r="A27" s="62"/>
      <c r="B27" s="193"/>
      <c r="O27" s="166"/>
      <c r="P27" s="295"/>
    </row>
    <row r="28" spans="1:16" s="114" customFormat="1" ht="18" customHeight="1" x14ac:dyDescent="0.45">
      <c r="A28" s="62"/>
      <c r="B28" s="193"/>
      <c r="L28" s="365" t="s">
        <v>49</v>
      </c>
      <c r="M28" s="365"/>
      <c r="N28" s="365"/>
      <c r="O28" s="166"/>
      <c r="P28" s="295"/>
    </row>
    <row r="29" spans="1:16" s="114" customFormat="1" ht="18" customHeight="1" x14ac:dyDescent="0.45">
      <c r="A29" s="62"/>
      <c r="B29" s="193"/>
      <c r="G29" s="365" t="s">
        <v>79</v>
      </c>
      <c r="H29" s="365"/>
      <c r="I29" s="365"/>
      <c r="J29" s="15"/>
      <c r="K29" s="15"/>
      <c r="L29" s="365"/>
      <c r="M29" s="365"/>
      <c r="N29" s="365"/>
      <c r="O29" s="166"/>
      <c r="P29" s="295"/>
    </row>
    <row r="30" spans="1:16" s="114" customFormat="1" ht="18" customHeight="1" x14ac:dyDescent="0.45">
      <c r="A30" s="62"/>
      <c r="B30" s="193"/>
      <c r="G30" s="15"/>
      <c r="H30" s="15" t="s">
        <v>50</v>
      </c>
      <c r="I30" s="15"/>
      <c r="J30" s="15"/>
      <c r="K30" s="15"/>
      <c r="L30" s="17"/>
      <c r="M30" s="15" t="s">
        <v>51</v>
      </c>
      <c r="N30" s="18"/>
      <c r="O30" s="166"/>
      <c r="P30" s="295"/>
    </row>
    <row r="31" spans="1:16" s="114" customFormat="1" ht="18" customHeight="1" x14ac:dyDescent="0.45">
      <c r="A31" s="62"/>
      <c r="B31" s="193"/>
      <c r="G31" s="15"/>
      <c r="H31" s="17" t="s">
        <v>52</v>
      </c>
      <c r="I31" s="17"/>
      <c r="J31" s="17"/>
      <c r="K31" s="15"/>
      <c r="L31" s="17"/>
      <c r="M31" s="15" t="s">
        <v>53</v>
      </c>
      <c r="N31" s="18"/>
      <c r="O31" s="166"/>
      <c r="P31" s="295"/>
    </row>
    <row r="32" spans="1:16" s="114" customFormat="1" ht="18" customHeight="1" x14ac:dyDescent="0.45">
      <c r="A32" s="62"/>
      <c r="B32" s="193"/>
      <c r="G32" s="17"/>
      <c r="H32" s="17"/>
      <c r="I32" s="17"/>
      <c r="J32" s="17"/>
      <c r="K32" s="15"/>
      <c r="L32" s="17"/>
      <c r="M32" s="17"/>
      <c r="N32" s="19"/>
      <c r="O32" s="166"/>
      <c r="P32" s="295"/>
    </row>
    <row r="33" spans="1:16" s="114" customFormat="1" ht="18" customHeight="1" x14ac:dyDescent="0.45">
      <c r="A33" s="62"/>
      <c r="B33" s="193"/>
      <c r="O33" s="166"/>
      <c r="P33" s="295"/>
    </row>
    <row r="34" spans="1:16" s="114" customFormat="1" ht="18" customHeight="1" x14ac:dyDescent="0.45">
      <c r="A34" s="62"/>
      <c r="B34" s="193"/>
      <c r="O34" s="166"/>
      <c r="P34" s="295"/>
    </row>
  </sheetData>
  <mergeCells count="2">
    <mergeCell ref="G29:I29"/>
    <mergeCell ref="L28:N29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0" zoomScale="166" zoomScaleNormal="166" workbookViewId="0">
      <selection activeCell="J28" sqref="J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'2.1วสด.การแพทย์'!K1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27/5/64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1560</v>
      </c>
      <c r="E5" s="36">
        <v>1560</v>
      </c>
      <c r="F5" s="36">
        <v>1560</v>
      </c>
      <c r="G5" s="36">
        <v>520</v>
      </c>
      <c r="H5" s="36">
        <v>1040</v>
      </c>
      <c r="I5" s="36">
        <v>0</v>
      </c>
      <c r="J5" s="36">
        <f>1300+780</f>
        <v>2080</v>
      </c>
      <c r="K5" s="36"/>
      <c r="L5" s="36"/>
      <c r="M5" s="36"/>
      <c r="N5" s="36"/>
      <c r="O5" s="266">
        <f t="shared" ref="O5:O17" si="0">SUM(C5:N5)</f>
        <v>8320</v>
      </c>
      <c r="P5" s="286">
        <f t="shared" ref="P5:P27" si="1">O5/$O$23</f>
        <v>0.33663766943151929</v>
      </c>
    </row>
    <row r="6" spans="1:17" ht="17.25" customHeight="1" x14ac:dyDescent="0.2">
      <c r="A6" s="25">
        <v>2</v>
      </c>
      <c r="B6" s="26" t="s">
        <v>19</v>
      </c>
      <c r="C6" s="36">
        <v>780</v>
      </c>
      <c r="D6" s="36">
        <v>0</v>
      </c>
      <c r="E6" s="36">
        <v>1560</v>
      </c>
      <c r="F6" s="36">
        <v>0</v>
      </c>
      <c r="G6" s="36">
        <v>0</v>
      </c>
      <c r="H6" s="36">
        <v>1560</v>
      </c>
      <c r="I6" s="36">
        <v>0</v>
      </c>
      <c r="J6" s="36">
        <v>0</v>
      </c>
      <c r="K6" s="36"/>
      <c r="L6" s="36"/>
      <c r="M6" s="36"/>
      <c r="N6" s="36"/>
      <c r="O6" s="266">
        <f t="shared" si="0"/>
        <v>3900</v>
      </c>
      <c r="P6" s="286">
        <f t="shared" si="1"/>
        <v>0.15779890754602469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66">
        <f t="shared" si="0"/>
        <v>0</v>
      </c>
      <c r="P7" s="286">
        <f t="shared" si="1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520</v>
      </c>
      <c r="H8" s="36">
        <v>0</v>
      </c>
      <c r="I8" s="36">
        <v>1560</v>
      </c>
      <c r="J8" s="36">
        <v>0</v>
      </c>
      <c r="K8" s="36"/>
      <c r="L8" s="36"/>
      <c r="M8" s="36"/>
      <c r="N8" s="36"/>
      <c r="O8" s="266">
        <f t="shared" si="0"/>
        <v>2080</v>
      </c>
      <c r="P8" s="286">
        <f t="shared" si="1"/>
        <v>8.4159417357879823E-2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/>
      <c r="L9" s="36"/>
      <c r="M9" s="36"/>
      <c r="N9" s="36"/>
      <c r="O9" s="266">
        <f t="shared" si="0"/>
        <v>0</v>
      </c>
      <c r="P9" s="286">
        <f t="shared" si="1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780</v>
      </c>
      <c r="G10" s="36">
        <v>0</v>
      </c>
      <c r="H10" s="36">
        <v>520</v>
      </c>
      <c r="I10" s="36">
        <v>0</v>
      </c>
      <c r="J10" s="36">
        <v>0</v>
      </c>
      <c r="K10" s="36"/>
      <c r="L10" s="36"/>
      <c r="M10" s="36"/>
      <c r="N10" s="36"/>
      <c r="O10" s="266">
        <f t="shared" si="0"/>
        <v>1300</v>
      </c>
      <c r="P10" s="286">
        <f t="shared" si="1"/>
        <v>5.2599635848674893E-2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66">
        <f t="shared" si="0"/>
        <v>0</v>
      </c>
      <c r="P11" s="286">
        <f t="shared" si="1"/>
        <v>0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1300</v>
      </c>
      <c r="F12" s="36">
        <v>260</v>
      </c>
      <c r="G12" s="36">
        <v>0</v>
      </c>
      <c r="H12" s="36">
        <v>2080</v>
      </c>
      <c r="I12" s="36">
        <v>0</v>
      </c>
      <c r="J12" s="36">
        <v>780</v>
      </c>
      <c r="K12" s="36"/>
      <c r="L12" s="36"/>
      <c r="M12" s="36"/>
      <c r="N12" s="36"/>
      <c r="O12" s="266">
        <f t="shared" si="0"/>
        <v>4420</v>
      </c>
      <c r="P12" s="286">
        <f t="shared" si="1"/>
        <v>0.17883876188549463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500</v>
      </c>
      <c r="K13" s="36"/>
      <c r="L13" s="36"/>
      <c r="M13" s="36"/>
      <c r="N13" s="36"/>
      <c r="O13" s="266">
        <f t="shared" si="0"/>
        <v>500</v>
      </c>
      <c r="P13" s="286">
        <f t="shared" si="1"/>
        <v>2.0230629172567266E-2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375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66">
        <f t="shared" si="0"/>
        <v>375</v>
      </c>
      <c r="P14" s="286">
        <f t="shared" si="1"/>
        <v>1.517297187942545E-2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66">
        <f t="shared" si="0"/>
        <v>0</v>
      </c>
      <c r="P15" s="286">
        <f t="shared" si="1"/>
        <v>0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500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66">
        <f t="shared" si="0"/>
        <v>500</v>
      </c>
      <c r="P16" s="286">
        <f t="shared" si="1"/>
        <v>2.0230629172567266E-2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f>0</f>
        <v>0</v>
      </c>
      <c r="I17" s="36">
        <v>0</v>
      </c>
      <c r="J17" s="36">
        <v>0</v>
      </c>
      <c r="K17" s="36"/>
      <c r="L17" s="36"/>
      <c r="M17" s="36"/>
      <c r="N17" s="36"/>
      <c r="O17" s="266">
        <f t="shared" si="0"/>
        <v>0</v>
      </c>
      <c r="P17" s="286">
        <f t="shared" si="1"/>
        <v>0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500</v>
      </c>
      <c r="J18" s="36">
        <v>0</v>
      </c>
      <c r="K18" s="36"/>
      <c r="L18" s="36"/>
      <c r="M18" s="36"/>
      <c r="N18" s="36"/>
      <c r="O18" s="266">
        <f ca="1">SUM(C18:O18)</f>
        <v>0</v>
      </c>
      <c r="P18" s="286" t="e">
        <f t="shared" ca="1" si="1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780</v>
      </c>
      <c r="F19" s="36">
        <v>0</v>
      </c>
      <c r="G19" s="36">
        <v>0</v>
      </c>
      <c r="H19" s="36">
        <v>1040</v>
      </c>
      <c r="I19" s="36">
        <v>0</v>
      </c>
      <c r="J19" s="36">
        <v>0</v>
      </c>
      <c r="K19" s="36"/>
      <c r="L19" s="36"/>
      <c r="M19" s="36"/>
      <c r="N19" s="36"/>
      <c r="O19" s="266">
        <f>SUM(C19:N19)</f>
        <v>1820</v>
      </c>
      <c r="P19" s="286">
        <f t="shared" si="1"/>
        <v>7.3639490188144849E-2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66">
        <f ca="1">SUM(B20:O20)</f>
        <v>0</v>
      </c>
      <c r="P20" s="286" t="e">
        <f t="shared" ca="1" si="1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500</v>
      </c>
      <c r="G21" s="36">
        <v>0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66">
        <v>500</v>
      </c>
      <c r="P21" s="286">
        <f t="shared" si="1"/>
        <v>2.0230629172567266E-2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500</v>
      </c>
      <c r="I22" s="36">
        <v>0</v>
      </c>
      <c r="J22" s="36">
        <v>0</v>
      </c>
      <c r="K22" s="36"/>
      <c r="L22" s="36"/>
      <c r="M22" s="36"/>
      <c r="N22" s="36">
        <v>700</v>
      </c>
      <c r="O22" s="266">
        <f>SUM(C22:N22)</f>
        <v>1200</v>
      </c>
      <c r="P22" s="286">
        <f t="shared" si="1"/>
        <v>4.8553510014161437E-2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C6</f>
        <v>780</v>
      </c>
      <c r="D23" s="42">
        <v>1560</v>
      </c>
      <c r="E23" s="42">
        <f>E19+E12+E6+E5</f>
        <v>5200</v>
      </c>
      <c r="F23" s="42">
        <f>F21+F16+F14+F12+F10+F5</f>
        <v>3975</v>
      </c>
      <c r="G23" s="42">
        <f>G8+G5</f>
        <v>1040</v>
      </c>
      <c r="H23" s="42">
        <f>SUM(H5:H22)</f>
        <v>6740</v>
      </c>
      <c r="I23" s="42">
        <f>SUM(I5:I22)</f>
        <v>2060</v>
      </c>
      <c r="J23" s="42">
        <f>SUM(J5:J21)</f>
        <v>3360</v>
      </c>
      <c r="K23" s="42"/>
      <c r="L23" s="42"/>
      <c r="M23" s="42"/>
      <c r="N23" s="42"/>
      <c r="O23" s="42">
        <f>SUM(C23:N23)</f>
        <v>24715</v>
      </c>
      <c r="P23" s="287">
        <f t="shared" si="1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f>0</f>
        <v>0</v>
      </c>
      <c r="G24" s="36">
        <v>0</v>
      </c>
      <c r="H24" s="36">
        <v>0</v>
      </c>
      <c r="I24" s="36">
        <v>0</v>
      </c>
      <c r="J24" s="36">
        <v>0</v>
      </c>
      <c r="K24" s="36"/>
      <c r="L24" s="36"/>
      <c r="M24" s="36"/>
      <c r="N24" s="36"/>
      <c r="O24" s="266">
        <f ca="1">SUM(C24:O24)</f>
        <v>0</v>
      </c>
      <c r="P24" s="286">
        <f t="shared" ca="1" si="1"/>
        <v>0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/>
      <c r="L25" s="36"/>
      <c r="M25" s="36"/>
      <c r="N25" s="36"/>
      <c r="O25" s="267">
        <v>0</v>
      </c>
      <c r="P25" s="286">
        <f t="shared" si="1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0</v>
      </c>
      <c r="D26" s="41">
        <f>D23</f>
        <v>1560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/>
      <c r="L26" s="41"/>
      <c r="M26" s="41"/>
      <c r="N26" s="41"/>
      <c r="O26" s="272">
        <v>0</v>
      </c>
      <c r="P26" s="288">
        <f t="shared" si="1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 t="shared" ref="C27:H27" si="2">C23</f>
        <v>780</v>
      </c>
      <c r="D27" s="278">
        <f t="shared" si="2"/>
        <v>1560</v>
      </c>
      <c r="E27" s="278">
        <f t="shared" si="2"/>
        <v>5200</v>
      </c>
      <c r="F27" s="278">
        <f t="shared" si="2"/>
        <v>3975</v>
      </c>
      <c r="G27" s="278">
        <f t="shared" si="2"/>
        <v>1040</v>
      </c>
      <c r="H27" s="278">
        <f t="shared" si="2"/>
        <v>6740</v>
      </c>
      <c r="I27" s="278">
        <f>I23</f>
        <v>2060</v>
      </c>
      <c r="J27" s="278">
        <f>J23</f>
        <v>3360</v>
      </c>
      <c r="K27" s="278"/>
      <c r="L27" s="278"/>
      <c r="M27" s="278"/>
      <c r="N27" s="278"/>
      <c r="O27" s="278">
        <f>SUM(C27:N27)</f>
        <v>24715</v>
      </c>
      <c r="P27" s="289">
        <f t="shared" si="1"/>
        <v>1</v>
      </c>
    </row>
    <row r="28" spans="1:16" s="114" customFormat="1" ht="18" customHeight="1" x14ac:dyDescent="0.45">
      <c r="A28" s="62"/>
      <c r="B28" s="193"/>
      <c r="O28" s="166"/>
      <c r="P28" s="295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5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5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5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5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5"/>
    </row>
    <row r="34" spans="1:16" s="114" customFormat="1" ht="18" customHeight="1" x14ac:dyDescent="0.45">
      <c r="A34" s="62"/>
      <c r="B34" s="193"/>
      <c r="O34" s="166"/>
      <c r="P34" s="295"/>
    </row>
    <row r="35" spans="1:16" s="114" customFormat="1" ht="18" customHeight="1" x14ac:dyDescent="0.45">
      <c r="A35" s="62"/>
      <c r="B35" s="193"/>
      <c r="O35" s="166"/>
      <c r="P35" s="295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8" zoomScale="160" zoomScaleNormal="160" workbookViewId="0">
      <selection activeCell="J28" sqref="J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'2.2วสด.สนง'!K1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27/5/64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550+440+550</f>
        <v>1540</v>
      </c>
      <c r="D5" s="36">
        <f>345+550+330</f>
        <v>1225</v>
      </c>
      <c r="E5" s="36">
        <v>550</v>
      </c>
      <c r="F5" s="36">
        <f>550+1100</f>
        <v>1650</v>
      </c>
      <c r="G5" s="36">
        <f>575+1100+550+325+325</f>
        <v>2875</v>
      </c>
      <c r="H5" s="36">
        <f>550+1100+350</f>
        <v>2000</v>
      </c>
      <c r="I5" s="36">
        <v>0</v>
      </c>
      <c r="J5" s="36">
        <f>550+550+650+325+220+550+550</f>
        <v>3395</v>
      </c>
      <c r="K5" s="36"/>
      <c r="L5" s="36"/>
      <c r="M5" s="36"/>
      <c r="N5" s="36"/>
      <c r="O5" s="266">
        <f>SUM(C5:N5)</f>
        <v>13235</v>
      </c>
      <c r="P5" s="286">
        <f t="shared" ref="P5:P27" si="0">O5/$O$23</f>
        <v>0.20143983440382332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1127</v>
      </c>
      <c r="F6" s="36">
        <f>1100+230</f>
        <v>1330</v>
      </c>
      <c r="G6" s="36">
        <v>0</v>
      </c>
      <c r="H6" s="36">
        <f>1225</f>
        <v>1225</v>
      </c>
      <c r="I6" s="36">
        <v>0</v>
      </c>
      <c r="J6" s="36">
        <v>700</v>
      </c>
      <c r="K6" s="36"/>
      <c r="L6" s="36"/>
      <c r="M6" s="36"/>
      <c r="N6" s="36"/>
      <c r="O6" s="266">
        <f>SUM(C6:N6)</f>
        <v>4382</v>
      </c>
      <c r="P6" s="286">
        <f t="shared" si="0"/>
        <v>6.6695077775410186E-2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550+110</f>
        <v>660</v>
      </c>
      <c r="E7" s="36">
        <v>0</v>
      </c>
      <c r="F7" s="36">
        <v>0</v>
      </c>
      <c r="G7" s="36">
        <v>0</v>
      </c>
      <c r="H7" s="36">
        <v>700</v>
      </c>
      <c r="I7" s="36">
        <v>0</v>
      </c>
      <c r="J7" s="36">
        <f>1050+650</f>
        <v>1700</v>
      </c>
      <c r="K7" s="36"/>
      <c r="L7" s="36"/>
      <c r="M7" s="36"/>
      <c r="N7" s="36"/>
      <c r="O7" s="266">
        <f>SUM(C7:N7)</f>
        <v>3060</v>
      </c>
      <c r="P7" s="286">
        <f t="shared" si="0"/>
        <v>4.6573924690268179E-2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550</v>
      </c>
      <c r="I8" s="36">
        <v>0</v>
      </c>
      <c r="J8" s="36">
        <v>2200</v>
      </c>
      <c r="K8" s="36"/>
      <c r="L8" s="36"/>
      <c r="M8" s="36"/>
      <c r="N8" s="36"/>
      <c r="O8" s="266">
        <f>SUM(C8:N8)</f>
        <v>2750</v>
      </c>
      <c r="P8" s="286">
        <f t="shared" si="0"/>
        <v>4.1855651273933821E-2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660</v>
      </c>
      <c r="E9" s="36">
        <v>0</v>
      </c>
      <c r="F9" s="36">
        <v>112</v>
      </c>
      <c r="G9" s="36">
        <v>0</v>
      </c>
      <c r="H9" s="36">
        <f>224+220+1050</f>
        <v>1494</v>
      </c>
      <c r="I9" s="36">
        <v>1100</v>
      </c>
      <c r="J9" s="36">
        <f>110+550</f>
        <v>660</v>
      </c>
      <c r="K9" s="36"/>
      <c r="L9" s="36"/>
      <c r="M9" s="36"/>
      <c r="N9" s="36"/>
      <c r="O9" s="266">
        <f>SUM(C9:N10)</f>
        <v>9686</v>
      </c>
      <c r="P9" s="286">
        <f t="shared" si="0"/>
        <v>0.14742321390520838</v>
      </c>
    </row>
    <row r="10" spans="1:17" ht="17.25" customHeight="1" x14ac:dyDescent="0.2">
      <c r="A10" s="25">
        <v>6</v>
      </c>
      <c r="B10" s="26" t="s">
        <v>3</v>
      </c>
      <c r="C10" s="36">
        <f>115+700</f>
        <v>815</v>
      </c>
      <c r="D10" s="36">
        <v>550</v>
      </c>
      <c r="E10" s="36">
        <f>550+280+700</f>
        <v>1530</v>
      </c>
      <c r="F10" s="36">
        <v>0</v>
      </c>
      <c r="G10" s="36">
        <f>660+350</f>
        <v>1010</v>
      </c>
      <c r="H10" s="36">
        <v>880</v>
      </c>
      <c r="I10" s="36">
        <v>220</v>
      </c>
      <c r="J10" s="36">
        <v>655</v>
      </c>
      <c r="K10" s="36"/>
      <c r="L10" s="36"/>
      <c r="M10" s="36"/>
      <c r="N10" s="36"/>
      <c r="O10" s="266">
        <f t="shared" ref="O10:O23" si="1">SUM(C10:N10)</f>
        <v>5660</v>
      </c>
      <c r="P10" s="286">
        <f t="shared" si="0"/>
        <v>8.6146540440169256E-2</v>
      </c>
    </row>
    <row r="11" spans="1:17" ht="17.25" customHeight="1" x14ac:dyDescent="0.2">
      <c r="A11" s="25">
        <v>7</v>
      </c>
      <c r="B11" s="26" t="s">
        <v>4</v>
      </c>
      <c r="C11" s="36">
        <v>330</v>
      </c>
      <c r="D11" s="36">
        <v>220</v>
      </c>
      <c r="E11" s="36">
        <v>0</v>
      </c>
      <c r="F11" s="36">
        <v>175</v>
      </c>
      <c r="G11" s="36">
        <f>350+350</f>
        <v>700</v>
      </c>
      <c r="H11" s="36">
        <f>700+350</f>
        <v>1050</v>
      </c>
      <c r="I11" s="36">
        <v>0</v>
      </c>
      <c r="J11" s="36">
        <v>0</v>
      </c>
      <c r="K11" s="36"/>
      <c r="L11" s="36"/>
      <c r="M11" s="36"/>
      <c r="N11" s="36"/>
      <c r="O11" s="266">
        <f t="shared" si="1"/>
        <v>2475</v>
      </c>
      <c r="P11" s="286">
        <f t="shared" si="0"/>
        <v>3.7670086146540438E-2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550</v>
      </c>
      <c r="E12" s="36">
        <f>550+330</f>
        <v>880</v>
      </c>
      <c r="F12" s="36">
        <v>110</v>
      </c>
      <c r="G12" s="36">
        <f>550+550+220</f>
        <v>1320</v>
      </c>
      <c r="H12" s="36">
        <f>330</f>
        <v>330</v>
      </c>
      <c r="I12" s="36">
        <v>0</v>
      </c>
      <c r="J12" s="36">
        <f>330+220+112+110+550</f>
        <v>1322</v>
      </c>
      <c r="K12" s="36"/>
      <c r="L12" s="36"/>
      <c r="M12" s="36"/>
      <c r="N12" s="36"/>
      <c r="O12" s="266">
        <f t="shared" si="1"/>
        <v>4512</v>
      </c>
      <c r="P12" s="286">
        <f t="shared" si="0"/>
        <v>6.8673708562905236E-2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f>220+230</f>
        <v>450</v>
      </c>
      <c r="F13" s="36">
        <v>0</v>
      </c>
      <c r="G13" s="36">
        <f>110+110+65</f>
        <v>285</v>
      </c>
      <c r="H13" s="36">
        <f>115+330+220+700</f>
        <v>1365</v>
      </c>
      <c r="I13" s="36">
        <v>0</v>
      </c>
      <c r="J13" s="36">
        <f>330</f>
        <v>330</v>
      </c>
      <c r="K13" s="36"/>
      <c r="L13" s="36"/>
      <c r="M13" s="36"/>
      <c r="N13" s="36"/>
      <c r="O13" s="266">
        <f t="shared" si="1"/>
        <v>2430</v>
      </c>
      <c r="P13" s="286">
        <f t="shared" si="0"/>
        <v>3.6985175489330613E-2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550</v>
      </c>
      <c r="E14" s="36">
        <f>220+110</f>
        <v>330</v>
      </c>
      <c r="F14" s="36">
        <v>0</v>
      </c>
      <c r="G14" s="36">
        <v>0</v>
      </c>
      <c r="H14" s="36">
        <v>0</v>
      </c>
      <c r="I14" s="36">
        <f>175+130</f>
        <v>305</v>
      </c>
      <c r="J14" s="36">
        <f>220+220</f>
        <v>440</v>
      </c>
      <c r="K14" s="36"/>
      <c r="L14" s="36"/>
      <c r="M14" s="36"/>
      <c r="N14" s="36"/>
      <c r="O14" s="266">
        <f t="shared" si="1"/>
        <v>1625</v>
      </c>
      <c r="P14" s="286">
        <f t="shared" si="0"/>
        <v>2.4732884843688168E-2</v>
      </c>
    </row>
    <row r="15" spans="1:17" ht="17.25" customHeight="1" x14ac:dyDescent="0.2">
      <c r="A15" s="25">
        <v>12</v>
      </c>
      <c r="B15" s="26" t="s">
        <v>8</v>
      </c>
      <c r="C15" s="36">
        <f>1100+220+975</f>
        <v>2295</v>
      </c>
      <c r="D15" s="36">
        <v>550</v>
      </c>
      <c r="E15" s="36">
        <v>220</v>
      </c>
      <c r="F15" s="36">
        <v>0</v>
      </c>
      <c r="G15" s="36">
        <v>0</v>
      </c>
      <c r="H15" s="36">
        <f>112+550+330</f>
        <v>992</v>
      </c>
      <c r="I15" s="36">
        <v>220</v>
      </c>
      <c r="J15" s="36">
        <f>330+650+330+330</f>
        <v>1640</v>
      </c>
      <c r="K15" s="36"/>
      <c r="L15" s="36"/>
      <c r="M15" s="36"/>
      <c r="N15" s="36"/>
      <c r="O15" s="266">
        <f t="shared" si="1"/>
        <v>5917</v>
      </c>
      <c r="P15" s="286">
        <f t="shared" si="0"/>
        <v>9.0058141304678707E-2</v>
      </c>
    </row>
    <row r="16" spans="1:17" ht="17.25" customHeight="1" x14ac:dyDescent="0.2">
      <c r="A16" s="25">
        <v>13</v>
      </c>
      <c r="B16" s="26" t="s">
        <v>9</v>
      </c>
      <c r="C16" s="36">
        <v>325</v>
      </c>
      <c r="D16" s="36">
        <v>0</v>
      </c>
      <c r="E16" s="36">
        <v>0</v>
      </c>
      <c r="F16" s="36">
        <v>0</v>
      </c>
      <c r="G16" s="36">
        <v>220</v>
      </c>
      <c r="H16" s="36">
        <v>175</v>
      </c>
      <c r="I16" s="36">
        <v>220</v>
      </c>
      <c r="J16" s="36">
        <v>220</v>
      </c>
      <c r="K16" s="36"/>
      <c r="L16" s="36"/>
      <c r="M16" s="36"/>
      <c r="N16" s="36"/>
      <c r="O16" s="266">
        <f t="shared" si="1"/>
        <v>1160</v>
      </c>
      <c r="P16" s="286">
        <f t="shared" si="0"/>
        <v>1.7655474719186631E-2</v>
      </c>
    </row>
    <row r="17" spans="1:17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f>220+1225+350</f>
        <v>1795</v>
      </c>
      <c r="F17" s="36">
        <v>0</v>
      </c>
      <c r="G17" s="36">
        <v>350</v>
      </c>
      <c r="H17" s="36">
        <f>175+700</f>
        <v>875</v>
      </c>
      <c r="I17" s="36">
        <v>0</v>
      </c>
      <c r="J17" s="36">
        <f>700+70</f>
        <v>770</v>
      </c>
      <c r="K17" s="36"/>
      <c r="L17" s="36"/>
      <c r="M17" s="36"/>
      <c r="N17" s="36"/>
      <c r="O17" s="266">
        <f t="shared" si="1"/>
        <v>3790</v>
      </c>
      <c r="P17" s="286">
        <f t="shared" si="0"/>
        <v>5.7684697573894252E-2</v>
      </c>
    </row>
    <row r="18" spans="1:17" ht="17.25" customHeight="1" x14ac:dyDescent="0.2">
      <c r="A18" s="25">
        <v>15</v>
      </c>
      <c r="B18" s="26" t="s">
        <v>11</v>
      </c>
      <c r="C18" s="36">
        <f>440+175+525+325</f>
        <v>1465</v>
      </c>
      <c r="D18" s="36">
        <v>0</v>
      </c>
      <c r="E18" s="36">
        <f>130+100</f>
        <v>230</v>
      </c>
      <c r="F18" s="36">
        <v>0</v>
      </c>
      <c r="G18" s="36">
        <v>0</v>
      </c>
      <c r="H18" s="36">
        <v>350</v>
      </c>
      <c r="I18" s="36">
        <v>0</v>
      </c>
      <c r="J18" s="36">
        <f>220+110+175+175</f>
        <v>680</v>
      </c>
      <c r="K18" s="36"/>
      <c r="L18" s="36"/>
      <c r="M18" s="36"/>
      <c r="N18" s="36"/>
      <c r="O18" s="266">
        <f t="shared" si="1"/>
        <v>2725</v>
      </c>
      <c r="P18" s="286">
        <f t="shared" si="0"/>
        <v>4.1475145353261696E-2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f>0</f>
        <v>0</v>
      </c>
      <c r="F19" s="36">
        <v>0</v>
      </c>
      <c r="G19" s="36">
        <v>0</v>
      </c>
      <c r="H19" s="36">
        <v>880</v>
      </c>
      <c r="I19" s="36">
        <v>0</v>
      </c>
      <c r="J19" s="36">
        <v>0</v>
      </c>
      <c r="K19" s="36"/>
      <c r="L19" s="36"/>
      <c r="M19" s="36"/>
      <c r="N19" s="36"/>
      <c r="O19" s="266">
        <f t="shared" si="1"/>
        <v>880</v>
      </c>
      <c r="P19" s="286">
        <f t="shared" si="0"/>
        <v>1.3393808407658823E-2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f>112+336</f>
        <v>448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66">
        <f t="shared" si="1"/>
        <v>448</v>
      </c>
      <c r="P20" s="286">
        <f t="shared" si="0"/>
        <v>6.8186660984444914E-3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550</v>
      </c>
      <c r="F21" s="36">
        <f>550+500</f>
        <v>1050</v>
      </c>
      <c r="G21" s="36">
        <v>0</v>
      </c>
      <c r="H21" s="36">
        <v>0</v>
      </c>
      <c r="I21" s="36">
        <f>520+350</f>
        <v>870</v>
      </c>
      <c r="J21" s="36">
        <f>1575+660</f>
        <v>2235</v>
      </c>
      <c r="K21" s="36"/>
      <c r="L21" s="36"/>
      <c r="M21" s="36"/>
      <c r="N21" s="36"/>
      <c r="O21" s="266">
        <f t="shared" si="1"/>
        <v>4705</v>
      </c>
      <c r="P21" s="286">
        <f t="shared" si="0"/>
        <v>7.161121427049405E-2</v>
      </c>
    </row>
    <row r="22" spans="1:17" ht="17.25" customHeight="1" x14ac:dyDescent="0.2">
      <c r="A22" s="25">
        <v>19</v>
      </c>
      <c r="B22" s="26" t="s">
        <v>15</v>
      </c>
      <c r="C22" s="36">
        <v>110</v>
      </c>
      <c r="D22" s="36">
        <f>110+112+700</f>
        <v>922</v>
      </c>
      <c r="E22" s="36">
        <v>0</v>
      </c>
      <c r="F22" s="36">
        <v>0</v>
      </c>
      <c r="G22" s="36">
        <f>220+110+110+100+350</f>
        <v>890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66">
        <f t="shared" si="1"/>
        <v>1922</v>
      </c>
      <c r="P22" s="286">
        <f t="shared" si="0"/>
        <v>2.925329518127302E-2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C22+C21+C20+C19+C18+C17+C16+C15+C14+C13+C12+C11+C10+C9+C8+C7+C6+C5</f>
        <v>6880</v>
      </c>
      <c r="D23" s="357">
        <f>D22+D21+D20+D19+D18+D17+D16+D15+D14+D13+D12+D11+D10+D9+D8+D7+D6+D5</f>
        <v>5887</v>
      </c>
      <c r="E23" s="42">
        <f>E21+E20+E18+E17+E14+E13+E12+E10+E6+E5+E15</f>
        <v>8110</v>
      </c>
      <c r="F23" s="42">
        <f>F21+F12+F11+F9+F6+F5</f>
        <v>4427</v>
      </c>
      <c r="G23" s="42">
        <v>7650</v>
      </c>
      <c r="H23" s="42">
        <f>SUM(H5:H22)</f>
        <v>12866</v>
      </c>
      <c r="I23" s="42">
        <f>SUM(I5:I22)</f>
        <v>2935</v>
      </c>
      <c r="J23" s="42">
        <f>SUM(J5:J21)</f>
        <v>16947</v>
      </c>
      <c r="K23" s="42"/>
      <c r="L23" s="42"/>
      <c r="M23" s="42"/>
      <c r="N23" s="42"/>
      <c r="O23" s="53">
        <f t="shared" si="1"/>
        <v>65702</v>
      </c>
      <c r="P23" s="287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550</v>
      </c>
      <c r="D24" s="36">
        <v>1100</v>
      </c>
      <c r="E24" s="36">
        <f>1100</f>
        <v>1100</v>
      </c>
      <c r="F24" s="36">
        <v>0</v>
      </c>
      <c r="G24" s="36">
        <v>0</v>
      </c>
      <c r="H24" s="36">
        <v>0</v>
      </c>
      <c r="I24" s="36">
        <v>0</v>
      </c>
      <c r="J24" s="36">
        <f>1100+1100</f>
        <v>2200</v>
      </c>
      <c r="K24" s="36"/>
      <c r="L24" s="36"/>
      <c r="M24" s="36"/>
      <c r="N24" s="36"/>
      <c r="O24" s="266">
        <f ca="1">SUM(C24:O24)</f>
        <v>0</v>
      </c>
      <c r="P24" s="286">
        <f t="shared" ca="1" si="0"/>
        <v>0</v>
      </c>
    </row>
    <row r="25" spans="1:17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/>
      <c r="L25" s="36"/>
      <c r="M25" s="36"/>
      <c r="N25" s="36"/>
      <c r="O25" s="267">
        <v>0</v>
      </c>
      <c r="P25" s="286">
        <f t="shared" si="0"/>
        <v>0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C24</f>
        <v>550</v>
      </c>
      <c r="D26" s="41">
        <f>D24</f>
        <v>1100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/>
      <c r="L26" s="41"/>
      <c r="M26" s="41"/>
      <c r="N26" s="41"/>
      <c r="O26" s="272">
        <v>0</v>
      </c>
      <c r="P26" s="288">
        <f t="shared" si="0"/>
        <v>0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C23+C24</f>
        <v>7430</v>
      </c>
      <c r="D27" s="278">
        <f>D23+D24</f>
        <v>6987</v>
      </c>
      <c r="E27" s="278">
        <f>E23+E24</f>
        <v>9210</v>
      </c>
      <c r="F27" s="278">
        <f>F23</f>
        <v>4427</v>
      </c>
      <c r="G27" s="278">
        <f>G25+G23</f>
        <v>7650</v>
      </c>
      <c r="H27" s="278">
        <f>H24+H23</f>
        <v>12866</v>
      </c>
      <c r="I27" s="278">
        <f>I23</f>
        <v>2935</v>
      </c>
      <c r="J27" s="278">
        <f>J23+J24</f>
        <v>19147</v>
      </c>
      <c r="K27" s="278"/>
      <c r="L27" s="278"/>
      <c r="M27" s="278"/>
      <c r="N27" s="278"/>
      <c r="O27" s="278">
        <f>O23</f>
        <v>65702</v>
      </c>
      <c r="P27" s="289">
        <f t="shared" si="0"/>
        <v>1</v>
      </c>
    </row>
    <row r="28" spans="1:17" s="114" customFormat="1" ht="18" customHeight="1" x14ac:dyDescent="0.45">
      <c r="A28" s="62"/>
      <c r="B28" s="193"/>
      <c r="O28" s="166"/>
      <c r="P28" s="295"/>
    </row>
    <row r="29" spans="1:17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5"/>
    </row>
    <row r="30" spans="1:17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5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5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5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5"/>
    </row>
    <row r="34" spans="1:16" s="114" customFormat="1" ht="18" customHeight="1" x14ac:dyDescent="0.45">
      <c r="A34" s="62"/>
      <c r="B34" s="193"/>
      <c r="O34" s="166"/>
      <c r="P34" s="295"/>
    </row>
    <row r="35" spans="1:16" s="114" customFormat="1" ht="18" customHeight="1" x14ac:dyDescent="0.45">
      <c r="A35" s="62"/>
      <c r="B35" s="193"/>
      <c r="O35" s="166"/>
      <c r="P35" s="295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9" zoomScale="172" zoomScaleNormal="172" workbookViewId="0">
      <selection activeCell="J28" sqref="J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'2.3วสด.งานบ้าน'!K1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27/5/64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1800+158</f>
        <v>1958</v>
      </c>
      <c r="D5" s="36">
        <f>2700+158+2700</f>
        <v>5558</v>
      </c>
      <c r="E5" s="36">
        <v>0</v>
      </c>
      <c r="F5" s="36">
        <v>0</v>
      </c>
      <c r="G5" s="36">
        <v>3600</v>
      </c>
      <c r="H5" s="36">
        <v>0</v>
      </c>
      <c r="I5" s="36">
        <v>2610</v>
      </c>
      <c r="J5" s="36">
        <v>0</v>
      </c>
      <c r="K5" s="36"/>
      <c r="L5" s="36"/>
      <c r="M5" s="36"/>
      <c r="N5" s="36"/>
      <c r="O5" s="266">
        <f>SUM(C5:N5)</f>
        <v>13726</v>
      </c>
      <c r="P5" s="286">
        <f t="shared" ref="P5:P27" si="0">O5/$O$23</f>
        <v>0.16375957431577942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158</v>
      </c>
      <c r="F6" s="36">
        <v>237</v>
      </c>
      <c r="G6" s="36">
        <f>1800+237</f>
        <v>2037</v>
      </c>
      <c r="H6" s="36">
        <v>0</v>
      </c>
      <c r="I6" s="36">
        <v>0</v>
      </c>
      <c r="J6" s="36">
        <v>0</v>
      </c>
      <c r="K6" s="36"/>
      <c r="L6" s="36"/>
      <c r="M6" s="36"/>
      <c r="N6" s="36"/>
      <c r="O6" s="266">
        <f t="shared" ref="O6:O22" si="1">SUM(C6:N6)</f>
        <v>2432</v>
      </c>
      <c r="P6" s="286">
        <f t="shared" si="0"/>
        <v>2.9015247321577703E-2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f>190+79</f>
        <v>269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66">
        <f t="shared" si="1"/>
        <v>269</v>
      </c>
      <c r="P7" s="286">
        <f t="shared" si="0"/>
        <v>3.2093345104870076E-3</v>
      </c>
    </row>
    <row r="8" spans="1:17" ht="17.25" customHeight="1" x14ac:dyDescent="0.2">
      <c r="A8" s="25">
        <v>4</v>
      </c>
      <c r="B8" s="26" t="s">
        <v>21</v>
      </c>
      <c r="C8" s="36">
        <v>3600</v>
      </c>
      <c r="D8" s="36">
        <v>0</v>
      </c>
      <c r="E8" s="36">
        <f>1125+5400+790</f>
        <v>7315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6"/>
      <c r="M8" s="36"/>
      <c r="N8" s="36"/>
      <c r="O8" s="266">
        <f t="shared" si="1"/>
        <v>10915</v>
      </c>
      <c r="P8" s="286">
        <f t="shared" si="0"/>
        <v>0.13022262521176836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f>3600+750</f>
        <v>4350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/>
      <c r="L9" s="36"/>
      <c r="M9" s="36"/>
      <c r="N9" s="36"/>
      <c r="O9" s="266">
        <f t="shared" si="1"/>
        <v>4350</v>
      </c>
      <c r="P9" s="286">
        <f t="shared" si="0"/>
        <v>5.189816029969696E-2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750</v>
      </c>
      <c r="E10" s="36">
        <v>75</v>
      </c>
      <c r="F10" s="36">
        <v>0</v>
      </c>
      <c r="G10" s="36">
        <v>2175</v>
      </c>
      <c r="H10" s="36">
        <v>0</v>
      </c>
      <c r="I10" s="36">
        <v>1740</v>
      </c>
      <c r="J10" s="36">
        <v>0</v>
      </c>
      <c r="K10" s="36"/>
      <c r="L10" s="36"/>
      <c r="M10" s="36"/>
      <c r="N10" s="36"/>
      <c r="O10" s="266">
        <f t="shared" si="1"/>
        <v>4740</v>
      </c>
      <c r="P10" s="286">
        <f t="shared" si="0"/>
        <v>5.6551098809324969E-2</v>
      </c>
    </row>
    <row r="11" spans="1:17" ht="17.25" customHeight="1" x14ac:dyDescent="0.2">
      <c r="A11" s="25">
        <v>7</v>
      </c>
      <c r="B11" s="26" t="s">
        <v>4</v>
      </c>
      <c r="C11" s="36">
        <v>190</v>
      </c>
      <c r="D11" s="36">
        <v>0</v>
      </c>
      <c r="E11" s="36">
        <v>1958</v>
      </c>
      <c r="F11" s="36">
        <v>0</v>
      </c>
      <c r="G11" s="36">
        <f>1800+375</f>
        <v>2175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66">
        <f t="shared" si="1"/>
        <v>4323</v>
      </c>
      <c r="P11" s="286">
        <f t="shared" si="0"/>
        <v>5.1576033787491947E-2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f>316+79</f>
        <v>395</v>
      </c>
      <c r="F12" s="36">
        <v>0</v>
      </c>
      <c r="G12" s="36">
        <f>3600+190+79</f>
        <v>3869</v>
      </c>
      <c r="H12" s="36">
        <v>0</v>
      </c>
      <c r="I12" s="36">
        <v>0</v>
      </c>
      <c r="J12" s="36">
        <f>1044+79</f>
        <v>1123</v>
      </c>
      <c r="K12" s="36"/>
      <c r="L12" s="36"/>
      <c r="M12" s="36"/>
      <c r="N12" s="36"/>
      <c r="O12" s="266">
        <f t="shared" si="1"/>
        <v>5387</v>
      </c>
      <c r="P12" s="286">
        <f t="shared" si="0"/>
        <v>6.4270204490682187E-2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190</v>
      </c>
      <c r="G13" s="36">
        <f>720</f>
        <v>720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66">
        <f t="shared" si="1"/>
        <v>910</v>
      </c>
      <c r="P13" s="286">
        <f t="shared" si="0"/>
        <v>1.0856856522465342E-2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1080</v>
      </c>
      <c r="E14" s="36">
        <v>0</v>
      </c>
      <c r="F14" s="36">
        <v>375</v>
      </c>
      <c r="G14" s="36">
        <v>79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66">
        <f t="shared" si="1"/>
        <v>1534</v>
      </c>
      <c r="P14" s="286">
        <f t="shared" si="0"/>
        <v>1.8301558137870148E-2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f>638+1800</f>
        <v>2438</v>
      </c>
      <c r="F15" s="36">
        <v>0</v>
      </c>
      <c r="G15" s="36">
        <v>900</v>
      </c>
      <c r="H15" s="36">
        <v>0</v>
      </c>
      <c r="I15" s="36">
        <v>1740</v>
      </c>
      <c r="J15" s="36">
        <v>190</v>
      </c>
      <c r="K15" s="36"/>
      <c r="L15" s="36"/>
      <c r="M15" s="36"/>
      <c r="N15" s="36"/>
      <c r="O15" s="266">
        <f t="shared" si="1"/>
        <v>5268</v>
      </c>
      <c r="P15" s="286">
        <f t="shared" si="0"/>
        <v>6.2850461714667488E-2</v>
      </c>
    </row>
    <row r="16" spans="1:17" ht="17.25" customHeight="1" x14ac:dyDescent="0.2">
      <c r="A16" s="25">
        <v>12</v>
      </c>
      <c r="B16" s="26" t="s">
        <v>9</v>
      </c>
      <c r="C16" s="36">
        <f>750+1185</f>
        <v>1935</v>
      </c>
      <c r="D16" s="36">
        <v>900</v>
      </c>
      <c r="E16" s="36">
        <v>0</v>
      </c>
      <c r="F16" s="36">
        <v>1440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66">
        <f t="shared" si="1"/>
        <v>4275</v>
      </c>
      <c r="P16" s="286">
        <f t="shared" si="0"/>
        <v>5.1003364432460806E-2</v>
      </c>
    </row>
    <row r="17" spans="1:16" ht="17.25" customHeight="1" x14ac:dyDescent="0.2">
      <c r="A17" s="25">
        <v>13</v>
      </c>
      <c r="B17" s="26" t="s">
        <v>10</v>
      </c>
      <c r="C17" s="36">
        <v>900</v>
      </c>
      <c r="D17" s="36">
        <v>0</v>
      </c>
      <c r="E17" s="36">
        <v>0</v>
      </c>
      <c r="F17" s="36">
        <v>0</v>
      </c>
      <c r="G17" s="36">
        <f>3600+190+79</f>
        <v>3869</v>
      </c>
      <c r="H17" s="36">
        <v>0</v>
      </c>
      <c r="I17" s="36">
        <v>1470</v>
      </c>
      <c r="J17" s="36">
        <v>150</v>
      </c>
      <c r="K17" s="36"/>
      <c r="L17" s="36"/>
      <c r="M17" s="36"/>
      <c r="N17" s="36"/>
      <c r="O17" s="266">
        <f t="shared" si="1"/>
        <v>6389</v>
      </c>
      <c r="P17" s="286">
        <f t="shared" si="0"/>
        <v>7.6224677276957212E-2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190</v>
      </c>
      <c r="E18" s="36">
        <v>0</v>
      </c>
      <c r="F18" s="36">
        <v>0</v>
      </c>
      <c r="G18" s="36">
        <v>190</v>
      </c>
      <c r="H18" s="36">
        <v>0</v>
      </c>
      <c r="I18" s="36">
        <v>0</v>
      </c>
      <c r="J18" s="36">
        <f>79+522</f>
        <v>601</v>
      </c>
      <c r="K18" s="36"/>
      <c r="L18" s="36"/>
      <c r="M18" s="36"/>
      <c r="N18" s="36"/>
      <c r="O18" s="266">
        <f t="shared" si="1"/>
        <v>981</v>
      </c>
      <c r="P18" s="286">
        <f t="shared" si="0"/>
        <v>1.1703929943448901E-2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720</v>
      </c>
      <c r="F19" s="36">
        <v>0</v>
      </c>
      <c r="G19" s="36">
        <v>1800</v>
      </c>
      <c r="H19" s="36">
        <v>0</v>
      </c>
      <c r="I19" s="36">
        <v>870</v>
      </c>
      <c r="J19" s="36">
        <v>0</v>
      </c>
      <c r="K19" s="36"/>
      <c r="L19" s="36"/>
      <c r="M19" s="36"/>
      <c r="N19" s="36"/>
      <c r="O19" s="266">
        <f t="shared" si="1"/>
        <v>3390</v>
      </c>
      <c r="P19" s="286">
        <f t="shared" si="0"/>
        <v>4.0444773199074184E-2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3600</v>
      </c>
      <c r="E20" s="36">
        <v>0</v>
      </c>
      <c r="F20" s="36">
        <v>0</v>
      </c>
      <c r="G20" s="36">
        <v>0</v>
      </c>
      <c r="H20" s="36">
        <v>79</v>
      </c>
      <c r="I20" s="36">
        <v>0</v>
      </c>
      <c r="J20" s="36">
        <v>750</v>
      </c>
      <c r="K20" s="36"/>
      <c r="L20" s="36"/>
      <c r="M20" s="36"/>
      <c r="N20" s="36"/>
      <c r="O20" s="266">
        <f t="shared" si="1"/>
        <v>4429</v>
      </c>
      <c r="P20" s="286">
        <f t="shared" si="0"/>
        <v>5.2840678613185713E-2</v>
      </c>
    </row>
    <row r="21" spans="1:16" ht="17.25" customHeight="1" x14ac:dyDescent="0.2">
      <c r="A21" s="25">
        <v>17</v>
      </c>
      <c r="B21" s="26" t="s">
        <v>14</v>
      </c>
      <c r="C21" s="36">
        <f>1800+1800</f>
        <v>3600</v>
      </c>
      <c r="D21" s="36">
        <v>0</v>
      </c>
      <c r="E21" s="36">
        <v>2550</v>
      </c>
      <c r="F21" s="36">
        <v>0</v>
      </c>
      <c r="G21" s="36">
        <v>4350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66">
        <f t="shared" si="1"/>
        <v>10500</v>
      </c>
      <c r="P21" s="286">
        <f t="shared" si="0"/>
        <v>0.12527142141306163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f>1800+750</f>
        <v>2550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66">
        <f t="shared" si="1"/>
        <v>2550</v>
      </c>
      <c r="P22" s="286">
        <f t="shared" si="0"/>
        <v>3.0423059486029254E-2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C21+C17+C16+C11+C8+C5</f>
        <v>12183</v>
      </c>
      <c r="D23" s="42">
        <f>D22+D21+D20+D19+D18+D17+D16+D15+D14+D13+D12+D11+D10+D9+D8+D7+D6+D5</f>
        <v>18978</v>
      </c>
      <c r="E23" s="42">
        <f>E19+E15+E12+E11+E10+E8+E7+E6</f>
        <v>13328</v>
      </c>
      <c r="F23" s="42">
        <f>F16+F14+F13+F6</f>
        <v>2242</v>
      </c>
      <c r="G23" s="42">
        <f>G21+G20+G19+G18+G17+G16+G15+G14+G13+G12+G11+G10+G9+G8+G7+G6+G5</f>
        <v>25764</v>
      </c>
      <c r="H23" s="42">
        <f>SUM(H5:H22)</f>
        <v>79</v>
      </c>
      <c r="I23" s="42">
        <f>SUM(I5:I21)</f>
        <v>8430</v>
      </c>
      <c r="J23" s="42">
        <f>SUM(J5:J22)</f>
        <v>2814</v>
      </c>
      <c r="K23" s="42"/>
      <c r="L23" s="42"/>
      <c r="M23" s="42"/>
      <c r="N23" s="42"/>
      <c r="O23" s="54">
        <f t="shared" ref="O23:O27" si="2">SUM(C23:N23)</f>
        <v>83818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190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/>
      <c r="L24" s="36"/>
      <c r="M24" s="36"/>
      <c r="N24" s="36"/>
      <c r="O24" s="267">
        <f t="shared" si="2"/>
        <v>190</v>
      </c>
      <c r="P24" s="286">
        <f t="shared" si="0"/>
        <v>2.266816196998258E-3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/>
      <c r="L26" s="41"/>
      <c r="M26" s="41"/>
      <c r="N26" s="41"/>
      <c r="O26" s="272">
        <f t="shared" si="2"/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12183</v>
      </c>
      <c r="D27" s="278">
        <f>D23+D24</f>
        <v>18978</v>
      </c>
      <c r="E27" s="278">
        <f>E23+E24</f>
        <v>13518</v>
      </c>
      <c r="F27" s="278">
        <f>F23</f>
        <v>2242</v>
      </c>
      <c r="G27" s="278">
        <f>G23</f>
        <v>25764</v>
      </c>
      <c r="H27" s="278">
        <f>H23</f>
        <v>79</v>
      </c>
      <c r="I27" s="278">
        <f>I23</f>
        <v>8430</v>
      </c>
      <c r="J27" s="278">
        <f>J23</f>
        <v>2814</v>
      </c>
      <c r="K27" s="278"/>
      <c r="L27" s="278"/>
      <c r="M27" s="278"/>
      <c r="N27" s="278"/>
      <c r="O27" s="279">
        <f t="shared" si="2"/>
        <v>84008</v>
      </c>
      <c r="P27" s="289">
        <f t="shared" si="0"/>
        <v>1.0022668161969983</v>
      </c>
    </row>
    <row r="28" spans="1:16" s="114" customFormat="1" ht="18" customHeight="1" x14ac:dyDescent="0.45">
      <c r="A28" s="62"/>
      <c r="B28" s="193"/>
      <c r="O28" s="166"/>
      <c r="P28" s="295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5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5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5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5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5"/>
    </row>
    <row r="34" spans="1:16" s="114" customFormat="1" ht="18" customHeight="1" x14ac:dyDescent="0.45">
      <c r="A34" s="62"/>
      <c r="B34" s="193"/>
      <c r="O34" s="166"/>
      <c r="P34" s="295"/>
    </row>
    <row r="35" spans="1:16" s="114" customFormat="1" ht="18" customHeight="1" x14ac:dyDescent="0.45">
      <c r="A35" s="62"/>
      <c r="B35" s="193"/>
      <c r="O35" s="166"/>
      <c r="P35" s="295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6" zoomScale="154" zoomScaleNormal="154" workbookViewId="0">
      <selection activeCell="J28" sqref="J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'2.4วสด. LAB'!K1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27/5/64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/>
      <c r="L5" s="36"/>
      <c r="M5" s="36"/>
      <c r="N5" s="36"/>
      <c r="O5" s="266">
        <f>SUM(C5:N5)</f>
        <v>0</v>
      </c>
      <c r="P5" s="286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1380.3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/>
      <c r="L6" s="36"/>
      <c r="M6" s="36"/>
      <c r="N6" s="36"/>
      <c r="O6" s="266">
        <f t="shared" ref="O6:O22" si="1">SUM(C6:N6)</f>
        <v>1380.3</v>
      </c>
      <c r="P6" s="286">
        <f t="shared" si="0"/>
        <v>0.11764154400797742</v>
      </c>
    </row>
    <row r="7" spans="1:17" ht="17.25" customHeight="1" x14ac:dyDescent="0.2">
      <c r="A7" s="25">
        <v>3</v>
      </c>
      <c r="B7" s="26" t="s">
        <v>20</v>
      </c>
      <c r="C7" s="36">
        <f>1250+776</f>
        <v>2026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66">
        <f t="shared" si="1"/>
        <v>2026</v>
      </c>
      <c r="P7" s="286">
        <f t="shared" si="0"/>
        <v>0.1726738884011898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6"/>
      <c r="M8" s="36"/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642</v>
      </c>
      <c r="K9" s="36"/>
      <c r="L9" s="36"/>
      <c r="M9" s="36"/>
      <c r="N9" s="36"/>
      <c r="O9" s="266">
        <f t="shared" si="1"/>
        <v>642</v>
      </c>
      <c r="P9" s="286">
        <f t="shared" si="0"/>
        <v>5.4716997213012757E-2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/>
      <c r="L10" s="36"/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227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66">
        <f t="shared" si="1"/>
        <v>227</v>
      </c>
      <c r="P11" s="286">
        <f t="shared" si="0"/>
        <v>1.9346975650083951E-2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227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66">
        <f t="shared" si="1"/>
        <v>227</v>
      </c>
      <c r="P12" s="286">
        <f t="shared" si="0"/>
        <v>1.9346975650083951E-2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/>
      <c r="L17" s="36"/>
      <c r="M17" s="36"/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2497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66">
        <f t="shared" si="1"/>
        <v>2497</v>
      </c>
      <c r="P20" s="286">
        <f t="shared" si="0"/>
        <v>0.21281673215092345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2070.4499999999998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66">
        <f t="shared" si="1"/>
        <v>2070.4499999999998</v>
      </c>
      <c r="P21" s="286">
        <f t="shared" si="0"/>
        <v>0.17646231601196613</v>
      </c>
    </row>
    <row r="22" spans="1:16" ht="17.25" customHeight="1" x14ac:dyDescent="0.2">
      <c r="A22" s="25">
        <v>19</v>
      </c>
      <c r="B22" s="26" t="s">
        <v>15</v>
      </c>
      <c r="C22" s="36">
        <v>2663.35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66">
        <f t="shared" si="1"/>
        <v>2663.35</v>
      </c>
      <c r="P22" s="286">
        <f t="shared" si="0"/>
        <v>0.22699457091476249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C22+C7+C6</f>
        <v>6069.6500000000005</v>
      </c>
      <c r="D23" s="42">
        <v>0</v>
      </c>
      <c r="E23" s="42">
        <f>E12+E11</f>
        <v>454</v>
      </c>
      <c r="F23" s="42">
        <v>0</v>
      </c>
      <c r="G23" s="42">
        <f>G21</f>
        <v>2070.4499999999998</v>
      </c>
      <c r="H23" s="42">
        <v>0</v>
      </c>
      <c r="I23" s="42">
        <v>0</v>
      </c>
      <c r="J23" s="42">
        <f>SUM(J5:J22)</f>
        <v>642</v>
      </c>
      <c r="K23" s="42"/>
      <c r="L23" s="42"/>
      <c r="M23" s="42"/>
      <c r="N23" s="42"/>
      <c r="O23" s="42">
        <f>SUM(O5:O22)</f>
        <v>11733.1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/>
      <c r="L24" s="36"/>
      <c r="M24" s="36"/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0</f>
        <v>0</v>
      </c>
      <c r="D26" s="41">
        <v>0</v>
      </c>
      <c r="E26" s="41">
        <f>0</f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/>
      <c r="L26" s="41"/>
      <c r="M26" s="41"/>
      <c r="N26" s="41"/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6069.6500000000005</v>
      </c>
      <c r="D27" s="278">
        <v>0</v>
      </c>
      <c r="E27" s="278">
        <f>E23</f>
        <v>454</v>
      </c>
      <c r="F27" s="278">
        <v>0</v>
      </c>
      <c r="G27" s="278">
        <f>G23</f>
        <v>2070.4499999999998</v>
      </c>
      <c r="H27" s="278">
        <v>0</v>
      </c>
      <c r="I27" s="278">
        <v>0</v>
      </c>
      <c r="J27" s="278">
        <f>J23</f>
        <v>642</v>
      </c>
      <c r="K27" s="278"/>
      <c r="L27" s="278"/>
      <c r="M27" s="278"/>
      <c r="N27" s="278"/>
      <c r="O27" s="278">
        <f>SUM(C27:N27)</f>
        <v>9236.1</v>
      </c>
      <c r="P27" s="289">
        <f t="shared" si="0"/>
        <v>0.78718326784907655</v>
      </c>
    </row>
    <row r="28" spans="1:16" s="114" customFormat="1" ht="18" customHeight="1" x14ac:dyDescent="0.45">
      <c r="A28" s="62"/>
      <c r="B28" s="193"/>
      <c r="O28" s="166"/>
      <c r="P28" s="295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5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5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5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5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5"/>
    </row>
    <row r="34" spans="1:16" s="114" customFormat="1" ht="18" customHeight="1" x14ac:dyDescent="0.45">
      <c r="A34" s="62"/>
      <c r="B34" s="193"/>
      <c r="O34" s="166"/>
      <c r="P34" s="295"/>
    </row>
    <row r="35" spans="1:16" s="114" customFormat="1" ht="18" customHeight="1" x14ac:dyDescent="0.45">
      <c r="A35" s="62"/>
      <c r="B35" s="193"/>
      <c r="O35" s="166"/>
      <c r="P35" s="295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6" zoomScale="154" zoomScaleNormal="154" workbookViewId="0">
      <selection activeCell="J28" sqref="J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27/5/64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72.5+72.5</f>
        <v>145</v>
      </c>
      <c r="D5" s="36">
        <v>0</v>
      </c>
      <c r="E5" s="36">
        <v>145</v>
      </c>
      <c r="F5" s="36">
        <v>0</v>
      </c>
      <c r="G5" s="36">
        <v>0</v>
      </c>
      <c r="H5" s="36">
        <v>145</v>
      </c>
      <c r="I5" s="36">
        <v>0</v>
      </c>
      <c r="J5" s="36">
        <v>0</v>
      </c>
      <c r="K5" s="36"/>
      <c r="L5" s="36"/>
      <c r="M5" s="36"/>
      <c r="N5" s="36"/>
      <c r="O5" s="266">
        <f>C5</f>
        <v>145</v>
      </c>
      <c r="P5" s="286">
        <f t="shared" ref="P5:P27" si="0">O5/$O$23</f>
        <v>0.5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/>
      <c r="L6" s="36"/>
      <c r="M6" s="36"/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67"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6"/>
      <c r="M8" s="36"/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/>
      <c r="L9" s="36"/>
      <c r="M9" s="36"/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/>
      <c r="L10" s="36"/>
      <c r="M10" s="36"/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145</v>
      </c>
      <c r="D11" s="36">
        <v>145</v>
      </c>
      <c r="E11" s="36">
        <v>0</v>
      </c>
      <c r="F11" s="36">
        <v>0</v>
      </c>
      <c r="G11" s="36">
        <v>145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66">
        <f>C11</f>
        <v>145</v>
      </c>
      <c r="P11" s="286">
        <f t="shared" si="0"/>
        <v>0.5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/>
      <c r="L17" s="36"/>
      <c r="M17" s="36"/>
      <c r="N17" s="36"/>
      <c r="O17" s="267"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/>
      <c r="L19" s="36"/>
      <c r="M19" s="36"/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C5+C11</f>
        <v>290</v>
      </c>
      <c r="D23" s="42">
        <v>145</v>
      </c>
      <c r="E23" s="42">
        <f>E5</f>
        <v>145</v>
      </c>
      <c r="F23" s="42">
        <v>0</v>
      </c>
      <c r="G23" s="42">
        <v>145</v>
      </c>
      <c r="H23" s="42">
        <v>0</v>
      </c>
      <c r="I23" s="42">
        <v>0</v>
      </c>
      <c r="J23" s="42">
        <v>0</v>
      </c>
      <c r="K23" s="42"/>
      <c r="L23" s="42"/>
      <c r="M23" s="42"/>
      <c r="N23" s="42"/>
      <c r="O23" s="53">
        <f>C23</f>
        <v>290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80</v>
      </c>
      <c r="C24" s="36">
        <v>72.5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/>
      <c r="L24" s="36"/>
      <c r="M24" s="36"/>
      <c r="N24" s="36"/>
      <c r="O24" s="266">
        <f>C24</f>
        <v>72.5</v>
      </c>
      <c r="P24" s="286">
        <f t="shared" si="0"/>
        <v>0.25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/>
      <c r="L25" s="36"/>
      <c r="M25" s="36"/>
      <c r="N25" s="36"/>
      <c r="O25" s="267"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72.5</v>
      </c>
      <c r="D26" s="41">
        <v>0</v>
      </c>
      <c r="E26" s="41">
        <f>E23</f>
        <v>145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/>
      <c r="L26" s="41"/>
      <c r="M26" s="41"/>
      <c r="N26" s="41"/>
      <c r="O26" s="271">
        <f>O24</f>
        <v>72.5</v>
      </c>
      <c r="P26" s="288">
        <f t="shared" si="0"/>
        <v>0.25</v>
      </c>
    </row>
    <row r="27" spans="1:16" s="55" customFormat="1" ht="17.25" customHeight="1" x14ac:dyDescent="0.2">
      <c r="A27" s="202" t="s">
        <v>26</v>
      </c>
      <c r="B27" s="207" t="s">
        <v>25</v>
      </c>
      <c r="C27" s="360">
        <f>C23+C24</f>
        <v>362.5</v>
      </c>
      <c r="D27" s="278">
        <v>145</v>
      </c>
      <c r="E27" s="278">
        <f>E23</f>
        <v>145</v>
      </c>
      <c r="F27" s="278">
        <v>0</v>
      </c>
      <c r="G27" s="278">
        <v>145</v>
      </c>
      <c r="H27" s="278">
        <f>SUM(H5:H25)</f>
        <v>145</v>
      </c>
      <c r="I27" s="278">
        <v>0</v>
      </c>
      <c r="J27" s="278">
        <v>0</v>
      </c>
      <c r="K27" s="278"/>
      <c r="L27" s="278"/>
      <c r="M27" s="278"/>
      <c r="N27" s="278"/>
      <c r="O27" s="278">
        <f>O23+O24</f>
        <v>362.5</v>
      </c>
      <c r="P27" s="289">
        <f t="shared" si="0"/>
        <v>1.25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5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5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5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5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5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5"/>
    </row>
    <row r="34" spans="1:16" s="114" customFormat="1" ht="18" customHeight="1" x14ac:dyDescent="0.45">
      <c r="A34" s="62"/>
      <c r="B34" s="193"/>
      <c r="O34" s="166"/>
      <c r="P34" s="295"/>
    </row>
    <row r="35" spans="1:16" s="114" customFormat="1" ht="18" customHeight="1" x14ac:dyDescent="0.45">
      <c r="A35" s="62"/>
      <c r="B35" s="193"/>
      <c r="O35" s="166"/>
      <c r="P35" s="295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B1" zoomScale="154" zoomScaleNormal="154" workbookViewId="0">
      <selection activeCell="J28" sqref="J28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6" customWidth="1"/>
    <col min="16" max="16" width="9.875" style="330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2563</v>
      </c>
      <c r="L1" s="68"/>
      <c r="M1" s="68"/>
      <c r="N1" s="68"/>
      <c r="P1" s="327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27/5/64</v>
      </c>
      <c r="O2" s="71"/>
      <c r="P2" s="327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7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8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31664.72+1904.34</f>
        <v>33569.06</v>
      </c>
      <c r="D5" s="36">
        <f>2075+13111.76+6963.32</f>
        <v>22150.080000000002</v>
      </c>
      <c r="E5" s="36">
        <v>26802.3</v>
      </c>
      <c r="F5" s="36">
        <f>29272.69+64.2+5486</f>
        <v>34822.89</v>
      </c>
      <c r="G5" s="36">
        <f>22385.52</f>
        <v>22385.52</v>
      </c>
      <c r="H5" s="36">
        <f>14458.46+4762.44</f>
        <v>19220.899999999998</v>
      </c>
      <c r="I5" s="36">
        <f>26698</f>
        <v>26698</v>
      </c>
      <c r="J5" s="36">
        <f>22404.93+513.4</f>
        <v>22918.33</v>
      </c>
      <c r="K5" s="36"/>
      <c r="L5" s="36"/>
      <c r="M5" s="36"/>
      <c r="N5" s="36"/>
      <c r="O5" s="266">
        <f>SUM(C5:N5)</f>
        <v>208567.08000000002</v>
      </c>
      <c r="P5" s="286">
        <f t="shared" ref="P5:P27" si="0">O5/$O$23</f>
        <v>0.16738869048004568</v>
      </c>
    </row>
    <row r="6" spans="1:17" s="27" customFormat="1" ht="18" customHeight="1" x14ac:dyDescent="0.2">
      <c r="A6" s="25">
        <v>2</v>
      </c>
      <c r="B6" s="28" t="s">
        <v>19</v>
      </c>
      <c r="C6" s="35">
        <v>10387.1</v>
      </c>
      <c r="D6" s="36">
        <f>10557.65</f>
        <v>10557.65</v>
      </c>
      <c r="E6" s="36">
        <v>13795.7</v>
      </c>
      <c r="F6" s="36">
        <f>15402.44+80+40+720+1634</f>
        <v>17876.440000000002</v>
      </c>
      <c r="G6" s="36">
        <f>10193.67+500-885.5</f>
        <v>9808.17</v>
      </c>
      <c r="H6" s="36">
        <f>18714.25+1320+5370+96+214+587+1320</f>
        <v>27621.25</v>
      </c>
      <c r="I6" s="36">
        <f>11638.55+2510+1636.3+135+378+106.8</f>
        <v>16404.649999999998</v>
      </c>
      <c r="J6" s="36">
        <f>8764.39+2640</f>
        <v>11404.39</v>
      </c>
      <c r="K6" s="36"/>
      <c r="L6" s="36"/>
      <c r="M6" s="36"/>
      <c r="N6" s="36"/>
      <c r="O6" s="266">
        <f t="shared" ref="O6:O22" si="1">SUM(C6:N6)</f>
        <v>117855.34999999999</v>
      </c>
      <c r="P6" s="286">
        <f t="shared" si="0"/>
        <v>9.4586608311184345E-2</v>
      </c>
    </row>
    <row r="7" spans="1:17" s="27" customFormat="1" ht="18" customHeight="1" x14ac:dyDescent="0.2">
      <c r="A7" s="25">
        <v>3</v>
      </c>
      <c r="B7" s="28" t="s">
        <v>20</v>
      </c>
      <c r="C7" s="35">
        <f>6037+3368.44</f>
        <v>9405.44</v>
      </c>
      <c r="D7" s="36">
        <v>5576.27</v>
      </c>
      <c r="E7" s="36">
        <v>1400</v>
      </c>
      <c r="F7" s="36">
        <v>9202</v>
      </c>
      <c r="G7" s="36">
        <f>7687.5-500</f>
        <v>7187.5</v>
      </c>
      <c r="H7" s="36">
        <f>7740.24</f>
        <v>7740.24</v>
      </c>
      <c r="I7" s="36">
        <v>1584.5</v>
      </c>
      <c r="J7" s="36">
        <f>9719.76</f>
        <v>9719.76</v>
      </c>
      <c r="K7" s="36"/>
      <c r="L7" s="36"/>
      <c r="M7" s="36"/>
      <c r="N7" s="36"/>
      <c r="O7" s="266">
        <f t="shared" si="1"/>
        <v>51815.71</v>
      </c>
      <c r="P7" s="286">
        <f t="shared" si="0"/>
        <v>4.1585488194943357E-2</v>
      </c>
    </row>
    <row r="8" spans="1:17" s="27" customFormat="1" ht="18" customHeight="1" x14ac:dyDescent="0.2">
      <c r="A8" s="25">
        <v>4</v>
      </c>
      <c r="B8" s="28" t="s">
        <v>21</v>
      </c>
      <c r="C8" s="35">
        <v>0</v>
      </c>
      <c r="D8" s="36">
        <f>23815.47+192.6</f>
        <v>24008.07</v>
      </c>
      <c r="E8" s="36">
        <f>18734.8</f>
        <v>18734.8</v>
      </c>
      <c r="F8" s="36">
        <v>6444</v>
      </c>
      <c r="G8" s="36">
        <f>22815.98+620</f>
        <v>23435.98</v>
      </c>
      <c r="H8" s="36">
        <f>15928.2</f>
        <v>15928.2</v>
      </c>
      <c r="I8" s="36">
        <f>2986.1+540</f>
        <v>3526.1</v>
      </c>
      <c r="J8" s="36">
        <f>6982</f>
        <v>6982</v>
      </c>
      <c r="K8" s="36"/>
      <c r="L8" s="36"/>
      <c r="M8" s="36"/>
      <c r="N8" s="36"/>
      <c r="O8" s="266">
        <f t="shared" si="1"/>
        <v>99059.15</v>
      </c>
      <c r="P8" s="286">
        <f t="shared" si="0"/>
        <v>7.9501431379134305E-2</v>
      </c>
    </row>
    <row r="9" spans="1:17" s="27" customFormat="1" ht="18" customHeight="1" x14ac:dyDescent="0.2">
      <c r="A9" s="25">
        <v>5</v>
      </c>
      <c r="B9" s="28" t="s">
        <v>2</v>
      </c>
      <c r="C9" s="35">
        <v>3089.12</v>
      </c>
      <c r="D9" s="36">
        <f>4709+6019.66</f>
        <v>10728.66</v>
      </c>
      <c r="E9" s="36">
        <v>1627.68</v>
      </c>
      <c r="F9" s="36">
        <f>3971.44+3882.06</f>
        <v>7853.5</v>
      </c>
      <c r="G9" s="36">
        <f>408.66</f>
        <v>408.66</v>
      </c>
      <c r="H9" s="36">
        <f>1200+345</f>
        <v>1545</v>
      </c>
      <c r="I9" s="36">
        <f>2280+810+164</f>
        <v>3254</v>
      </c>
      <c r="J9" s="36">
        <v>2580.56</v>
      </c>
      <c r="K9" s="36"/>
      <c r="L9" s="36"/>
      <c r="M9" s="36"/>
      <c r="N9" s="36"/>
      <c r="O9" s="266">
        <f t="shared" si="1"/>
        <v>31087.18</v>
      </c>
      <c r="P9" s="286">
        <f t="shared" si="0"/>
        <v>2.4949490355416905E-2</v>
      </c>
    </row>
    <row r="10" spans="1:17" s="27" customFormat="1" ht="18" customHeight="1" x14ac:dyDescent="0.2">
      <c r="A10" s="25">
        <v>6</v>
      </c>
      <c r="B10" s="28" t="s">
        <v>3</v>
      </c>
      <c r="C10" s="35">
        <v>7896.29</v>
      </c>
      <c r="D10" s="36">
        <f>15536.9</f>
        <v>15536.9</v>
      </c>
      <c r="E10" s="36">
        <f>2084+500</f>
        <v>2584</v>
      </c>
      <c r="F10" s="36">
        <f>3981.67</f>
        <v>3981.67</v>
      </c>
      <c r="G10" s="36">
        <f>1130+6601.6</f>
        <v>7731.6</v>
      </c>
      <c r="H10" s="36">
        <f>845+1264.1</f>
        <v>2109.1</v>
      </c>
      <c r="I10" s="36">
        <v>7789.43</v>
      </c>
      <c r="J10" s="36">
        <f>7030.16+350</f>
        <v>7380.16</v>
      </c>
      <c r="K10" s="36"/>
      <c r="L10" s="36"/>
      <c r="M10" s="36"/>
      <c r="N10" s="36"/>
      <c r="O10" s="266">
        <f t="shared" si="1"/>
        <v>55009.149999999994</v>
      </c>
      <c r="P10" s="286">
        <f t="shared" si="0"/>
        <v>4.4148432163505398E-2</v>
      </c>
    </row>
    <row r="11" spans="1:17" s="27" customFormat="1" ht="18" customHeight="1" x14ac:dyDescent="0.2">
      <c r="A11" s="25">
        <v>7</v>
      </c>
      <c r="B11" s="28" t="s">
        <v>4</v>
      </c>
      <c r="C11" s="35">
        <v>3899</v>
      </c>
      <c r="D11" s="36">
        <f>12505.26</f>
        <v>12505.26</v>
      </c>
      <c r="E11" s="36">
        <f>5781.63+810+6655</f>
        <v>13246.630000000001</v>
      </c>
      <c r="F11" s="36">
        <f>2519.88</f>
        <v>2519.88</v>
      </c>
      <c r="G11" s="36">
        <v>2259.9699999999998</v>
      </c>
      <c r="H11" s="36">
        <f>1170+180+2388.25</f>
        <v>3738.25</v>
      </c>
      <c r="I11" s="36">
        <v>2662.5</v>
      </c>
      <c r="J11" s="36">
        <v>8357.1</v>
      </c>
      <c r="K11" s="36"/>
      <c r="L11" s="36"/>
      <c r="M11" s="36"/>
      <c r="N11" s="36"/>
      <c r="O11" s="266">
        <f t="shared" si="1"/>
        <v>49188.590000000004</v>
      </c>
      <c r="P11" s="286">
        <f t="shared" si="0"/>
        <v>3.9477052978158733E-2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3018</v>
      </c>
      <c r="D12" s="36">
        <f>9155.85+8369.88+1240</f>
        <v>18765.73</v>
      </c>
      <c r="E12" s="36">
        <f>3359+111.28+6573.59+2800</f>
        <v>12843.87</v>
      </c>
      <c r="F12" s="36">
        <f>5769+2004.22+2130+800</f>
        <v>10703.220000000001</v>
      </c>
      <c r="G12" s="36">
        <f>8673.44+4435+4460.49+825</f>
        <v>18393.93</v>
      </c>
      <c r="H12" s="36">
        <f>8547.01+8180.23+1430+360</f>
        <v>18517.239999999998</v>
      </c>
      <c r="I12" s="36">
        <f>360+3563.47+4014.03</f>
        <v>7937.5</v>
      </c>
      <c r="J12" s="36">
        <v>3867.97</v>
      </c>
      <c r="K12" s="36"/>
      <c r="L12" s="36"/>
      <c r="M12" s="36"/>
      <c r="N12" s="36"/>
      <c r="O12" s="266">
        <f t="shared" si="1"/>
        <v>94047.459999999992</v>
      </c>
      <c r="P12" s="286">
        <f t="shared" si="0"/>
        <v>7.547922314669446E-2</v>
      </c>
    </row>
    <row r="13" spans="1:17" s="27" customFormat="1" ht="18" customHeight="1" x14ac:dyDescent="0.2">
      <c r="A13" s="25">
        <v>9</v>
      </c>
      <c r="B13" s="28" t="s">
        <v>6</v>
      </c>
      <c r="C13" s="35">
        <v>496</v>
      </c>
      <c r="D13" s="36">
        <f>9599.44+7626.99</f>
        <v>17226.43</v>
      </c>
      <c r="E13" s="36">
        <f>4490.66+500</f>
        <v>4990.66</v>
      </c>
      <c r="F13" s="36">
        <f>750</f>
        <v>750</v>
      </c>
      <c r="G13" s="36">
        <f>6144.46</f>
        <v>6144.46</v>
      </c>
      <c r="H13" s="36">
        <f>6630.74</f>
        <v>6630.74</v>
      </c>
      <c r="I13" s="36">
        <f>6812.54</f>
        <v>6812.54</v>
      </c>
      <c r="J13" s="36">
        <v>6268.75</v>
      </c>
      <c r="K13" s="36"/>
      <c r="L13" s="36"/>
      <c r="M13" s="36"/>
      <c r="N13" s="36"/>
      <c r="O13" s="266">
        <f t="shared" si="1"/>
        <v>49319.58</v>
      </c>
      <c r="P13" s="286">
        <f t="shared" si="0"/>
        <v>3.9582181000116852E-2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0</v>
      </c>
      <c r="D14" s="36">
        <f>12492.97+6060.6</f>
        <v>18553.57</v>
      </c>
      <c r="E14" s="36">
        <f>2686.43+150</f>
        <v>2836.43</v>
      </c>
      <c r="F14" s="36">
        <f>2702.52+53.5+1154.23</f>
        <v>3910.25</v>
      </c>
      <c r="G14" s="36">
        <f>1182.68+270+2498.47+50</f>
        <v>4001.1499999999996</v>
      </c>
      <c r="H14" s="36">
        <f>4088.64+270</f>
        <v>4358.6399999999994</v>
      </c>
      <c r="I14" s="36">
        <f>1690.02+3057.53</f>
        <v>4747.55</v>
      </c>
      <c r="J14" s="36">
        <v>1815.44</v>
      </c>
      <c r="K14" s="36"/>
      <c r="L14" s="36"/>
      <c r="M14" s="36"/>
      <c r="N14" s="36"/>
      <c r="O14" s="266">
        <f t="shared" si="1"/>
        <v>40223.030000000006</v>
      </c>
      <c r="P14" s="286">
        <f t="shared" si="0"/>
        <v>3.2281606084908473E-2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4062.94</v>
      </c>
      <c r="D15" s="36">
        <f>9449.98</f>
        <v>9449.98</v>
      </c>
      <c r="E15" s="36">
        <f>4629.65+480</f>
        <v>5109.6499999999996</v>
      </c>
      <c r="F15" s="36">
        <f>5725.36+680.56</f>
        <v>6405.92</v>
      </c>
      <c r="G15" s="36">
        <f>5894.12+240.75</f>
        <v>6134.87</v>
      </c>
      <c r="H15" s="36">
        <f>4260+660</f>
        <v>4920</v>
      </c>
      <c r="I15" s="36">
        <f>1778+4533.2</f>
        <v>6311.2</v>
      </c>
      <c r="J15" s="36">
        <f>1320+4098</f>
        <v>5418</v>
      </c>
      <c r="K15" s="36"/>
      <c r="L15" s="36"/>
      <c r="M15" s="36"/>
      <c r="N15" s="36"/>
      <c r="O15" s="266">
        <f t="shared" si="1"/>
        <v>47812.56</v>
      </c>
      <c r="P15" s="286">
        <f t="shared" si="0"/>
        <v>3.8372699118665379E-2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5822+668.04</f>
        <v>6490.04</v>
      </c>
      <c r="D16" s="36">
        <v>5466.89</v>
      </c>
      <c r="E16" s="36">
        <v>3099</v>
      </c>
      <c r="F16" s="36">
        <f>3208+275+450</f>
        <v>3933</v>
      </c>
      <c r="G16" s="36">
        <f>6632.74</f>
        <v>6632.74</v>
      </c>
      <c r="H16" s="36">
        <f>4355.62+1515.5</f>
        <v>5871.12</v>
      </c>
      <c r="I16" s="36">
        <f>7626.15+630</f>
        <v>8256.15</v>
      </c>
      <c r="J16" s="36">
        <f>2723.98+180</f>
        <v>2903.98</v>
      </c>
      <c r="K16" s="36"/>
      <c r="L16" s="36"/>
      <c r="M16" s="36"/>
      <c r="N16" s="36"/>
      <c r="O16" s="266">
        <f t="shared" si="1"/>
        <v>42652.92</v>
      </c>
      <c r="P16" s="286">
        <f t="shared" si="0"/>
        <v>3.423175135764546E-2</v>
      </c>
    </row>
    <row r="17" spans="1:16" s="27" customFormat="1" ht="18" customHeight="1" x14ac:dyDescent="0.2">
      <c r="A17" s="25">
        <v>13</v>
      </c>
      <c r="B17" s="28" t="s">
        <v>81</v>
      </c>
      <c r="C17" s="35">
        <f>6198.24+2152</f>
        <v>8350.24</v>
      </c>
      <c r="D17" s="36">
        <f>6015.95+2594.9</f>
        <v>8610.85</v>
      </c>
      <c r="E17" s="36">
        <f>8127.02+200</f>
        <v>8327.02</v>
      </c>
      <c r="F17" s="36">
        <f>6996.11+700+248+205.44</f>
        <v>8149.5499999999993</v>
      </c>
      <c r="G17" s="36">
        <f>14722.51+280+625+139.1</f>
        <v>15766.61</v>
      </c>
      <c r="H17" s="36">
        <f>14081.16-1700-162+500+834+50+400+145+190+1150+170+200+720+248+293+160+99.51+350+280+150+143.75+720+625+400</f>
        <v>20047.419999999998</v>
      </c>
      <c r="I17" s="36">
        <f>4683.26+1937.66</f>
        <v>6620.92</v>
      </c>
      <c r="J17" s="36">
        <f>6678.62</f>
        <v>6678.62</v>
      </c>
      <c r="K17" s="36"/>
      <c r="L17" s="36"/>
      <c r="M17" s="36"/>
      <c r="N17" s="36"/>
      <c r="O17" s="266">
        <f t="shared" si="1"/>
        <v>82551.23</v>
      </c>
      <c r="P17" s="286">
        <f t="shared" si="0"/>
        <v>6.625274845491945E-2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7431.66</f>
        <v>7431.66</v>
      </c>
      <c r="D18" s="36">
        <v>4553.1899999999996</v>
      </c>
      <c r="E18" s="36">
        <f>508.66+532.6+642+1040</f>
        <v>2723.26</v>
      </c>
      <c r="F18" s="36">
        <f>2773.05+55.6</f>
        <v>2828.65</v>
      </c>
      <c r="G18" s="36">
        <f>7661.73</f>
        <v>7661.73</v>
      </c>
      <c r="H18" s="36">
        <v>845</v>
      </c>
      <c r="I18" s="36">
        <f>1923.04</f>
        <v>1923.04</v>
      </c>
      <c r="J18" s="36">
        <f>939+4529.75</f>
        <v>5468.75</v>
      </c>
      <c r="K18" s="36"/>
      <c r="L18" s="36"/>
      <c r="M18" s="36"/>
      <c r="N18" s="36"/>
      <c r="O18" s="266">
        <f t="shared" si="1"/>
        <v>33435.279999999999</v>
      </c>
      <c r="P18" s="286">
        <f t="shared" si="0"/>
        <v>2.6833993816443427E-2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9580</v>
      </c>
      <c r="D19" s="36">
        <f>18386.25</f>
        <v>18386.25</v>
      </c>
      <c r="E19" s="36">
        <f>3088.04+17</f>
        <v>3105.04</v>
      </c>
      <c r="F19" s="36">
        <f>7482+51</f>
        <v>7533</v>
      </c>
      <c r="G19" s="36">
        <v>6954.36</v>
      </c>
      <c r="H19" s="36">
        <f>8332.04+3125</f>
        <v>11457.04</v>
      </c>
      <c r="I19" s="36">
        <f>4672.99+816.3+720+1920+725</f>
        <v>8854.2900000000009</v>
      </c>
      <c r="J19" s="36">
        <f>11289.42</f>
        <v>11289.42</v>
      </c>
      <c r="K19" s="36"/>
      <c r="L19" s="36"/>
      <c r="M19" s="36"/>
      <c r="N19" s="36"/>
      <c r="O19" s="266">
        <f t="shared" si="1"/>
        <v>77159.400000000009</v>
      </c>
      <c r="P19" s="286">
        <f t="shared" si="0"/>
        <v>6.1925453068749095E-2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f>15012.57</f>
        <v>15012.57</v>
      </c>
      <c r="E20" s="36">
        <f>8470.05</f>
        <v>8470.0499999999993</v>
      </c>
      <c r="F20" s="36">
        <v>0</v>
      </c>
      <c r="G20" s="36">
        <v>2570.13</v>
      </c>
      <c r="H20" s="36">
        <v>3086.8</v>
      </c>
      <c r="I20" s="36">
        <f>4266.25+95+6452.74</f>
        <v>10813.99</v>
      </c>
      <c r="J20" s="36">
        <f>4441.94+450</f>
        <v>4891.9399999999996</v>
      </c>
      <c r="K20" s="36"/>
      <c r="L20" s="36"/>
      <c r="M20" s="36"/>
      <c r="N20" s="36"/>
      <c r="O20" s="266">
        <f t="shared" si="1"/>
        <v>44845.48</v>
      </c>
      <c r="P20" s="286">
        <f t="shared" si="0"/>
        <v>3.5991423819852486E-2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8132+2027.66</f>
        <v>10159.66</v>
      </c>
      <c r="D21" s="36">
        <v>10370.379999999999</v>
      </c>
      <c r="E21" s="36">
        <v>8015.5</v>
      </c>
      <c r="F21" s="36">
        <f>6071.86</f>
        <v>6071.86</v>
      </c>
      <c r="G21" s="36">
        <f>10600.94</f>
        <v>10600.94</v>
      </c>
      <c r="H21" s="36">
        <f>6183.57+3874.54</f>
        <v>10058.11</v>
      </c>
      <c r="I21" s="36">
        <f>5860.87</f>
        <v>5860.87</v>
      </c>
      <c r="J21" s="36">
        <f>5826.96</f>
        <v>5826.96</v>
      </c>
      <c r="K21" s="36"/>
      <c r="L21" s="36"/>
      <c r="M21" s="36"/>
      <c r="N21" s="36"/>
      <c r="O21" s="266">
        <f t="shared" si="1"/>
        <v>66964.280000000013</v>
      </c>
      <c r="P21" s="286">
        <f t="shared" si="0"/>
        <v>5.3743204048017142E-2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4363</v>
      </c>
      <c r="D22" s="36">
        <f>3172+12215.09</f>
        <v>15387.09</v>
      </c>
      <c r="E22" s="36">
        <v>0</v>
      </c>
      <c r="F22" s="36">
        <v>6846.25</v>
      </c>
      <c r="G22" s="36">
        <f>8743.4+435</f>
        <v>9178.4</v>
      </c>
      <c r="H22" s="36">
        <v>5926.02</v>
      </c>
      <c r="I22" s="36">
        <f>3071.26+3906</f>
        <v>6977.26</v>
      </c>
      <c r="J22" s="36">
        <f>5733.16</f>
        <v>5733.16</v>
      </c>
      <c r="K22" s="36"/>
      <c r="L22" s="36"/>
      <c r="M22" s="36"/>
      <c r="N22" s="36"/>
      <c r="O22" s="266">
        <f t="shared" si="1"/>
        <v>54411.179999999993</v>
      </c>
      <c r="P22" s="286">
        <f t="shared" si="0"/>
        <v>4.3668522221599164E-2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>C22+C21+C20+C19+C18+C17+C16+C15+C14+C13+C12+C11+C10+C9+C8+C7+C6+C5</f>
        <v>122197.55</v>
      </c>
      <c r="D23" s="132">
        <f>D22+D21+D20+D19+D18+D17+D16+D15+D14+D13+D12+D11+D10+D9+D8+D7+D6+D5</f>
        <v>242845.82</v>
      </c>
      <c r="E23" s="132">
        <f>E22+E21+E20+E19+E18+E17+E16+E15+E14+E13+E12+E11+E10+E9+E8+E7+E6+E5</f>
        <v>137711.59</v>
      </c>
      <c r="F23" s="132">
        <f>F22+F21+F20+F19+F18+F17+F16+F15+F14+F13+F12+F11+F10+F9+F8+F7+F6+F5</f>
        <v>139832.08000000002</v>
      </c>
      <c r="G23" s="132">
        <f>SUM(G5:G22)</f>
        <v>167256.72</v>
      </c>
      <c r="H23" s="132">
        <f>SUM(H5:H22)</f>
        <v>169621.06999999998</v>
      </c>
      <c r="I23" s="132">
        <f>SUM(I5:I22)</f>
        <v>137034.48999999996</v>
      </c>
      <c r="J23" s="132">
        <f>SUM(J5:J22)</f>
        <v>129505.29000000001</v>
      </c>
      <c r="K23" s="132"/>
      <c r="L23" s="132"/>
      <c r="M23" s="132"/>
      <c r="N23" s="359"/>
      <c r="O23" s="132">
        <f>SUM(O5:O22)</f>
        <v>1246004.6099999999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v>23408.81</v>
      </c>
      <c r="D24" s="36">
        <f>15855.72</f>
        <v>15855.72</v>
      </c>
      <c r="E24" s="36">
        <f>34383.65+2055+247+1300+8252+1739.68+34010.08+4000</f>
        <v>85987.41</v>
      </c>
      <c r="F24" s="36">
        <f>49079.78+725+638+4824.8+2282</f>
        <v>57549.58</v>
      </c>
      <c r="G24" s="36">
        <f>37879+8050</f>
        <v>45929</v>
      </c>
      <c r="H24" s="36">
        <f>16007.4+7615.22-113+3175</f>
        <v>26684.62</v>
      </c>
      <c r="I24" s="36">
        <f>32880.4+530+1300+3970</f>
        <v>38680.400000000001</v>
      </c>
      <c r="J24" s="36">
        <f>13827.64+8140+4063.38+18815.92</f>
        <v>44846.94</v>
      </c>
      <c r="K24" s="36"/>
      <c r="L24" s="36"/>
      <c r="M24" s="36"/>
      <c r="N24" s="36"/>
      <c r="O24" s="266">
        <f t="shared" ref="O24:O27" si="2">SUM(C24:N24)</f>
        <v>338942.48000000004</v>
      </c>
      <c r="P24" s="286">
        <f t="shared" si="0"/>
        <v>0.27202345583617066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/>
      <c r="L25" s="36"/>
      <c r="M25" s="36"/>
      <c r="N25" s="36"/>
      <c r="O25" s="266">
        <f t="shared" si="2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>
        <f t="shared" ref="C26:H26" si="3">C24</f>
        <v>23408.81</v>
      </c>
      <c r="D26" s="137">
        <f t="shared" si="3"/>
        <v>15855.72</v>
      </c>
      <c r="E26" s="137">
        <f t="shared" si="3"/>
        <v>85987.41</v>
      </c>
      <c r="F26" s="137">
        <f t="shared" si="3"/>
        <v>57549.58</v>
      </c>
      <c r="G26" s="137">
        <f t="shared" si="3"/>
        <v>45929</v>
      </c>
      <c r="H26" s="137">
        <f t="shared" si="3"/>
        <v>26684.62</v>
      </c>
      <c r="I26" s="137">
        <f>I24</f>
        <v>38680.400000000001</v>
      </c>
      <c r="J26" s="137">
        <f>J24</f>
        <v>44846.94</v>
      </c>
      <c r="K26" s="137"/>
      <c r="L26" s="137"/>
      <c r="M26" s="137"/>
      <c r="N26" s="137"/>
      <c r="O26" s="271">
        <f t="shared" si="2"/>
        <v>338942.48000000004</v>
      </c>
      <c r="P26" s="288">
        <f t="shared" si="0"/>
        <v>0.27202345583617066</v>
      </c>
    </row>
    <row r="27" spans="1:16" s="134" customFormat="1" ht="20.25" customHeight="1" x14ac:dyDescent="0.2">
      <c r="A27" s="155" t="s">
        <v>66</v>
      </c>
      <c r="B27" s="156" t="s">
        <v>25</v>
      </c>
      <c r="C27" s="157">
        <f>C24+C23</f>
        <v>145606.36000000002</v>
      </c>
      <c r="D27" s="158">
        <f>D24+D23</f>
        <v>258701.54</v>
      </c>
      <c r="E27" s="158">
        <f>E24+E23</f>
        <v>223699</v>
      </c>
      <c r="F27" s="158">
        <f>F24+F23</f>
        <v>197381.66000000003</v>
      </c>
      <c r="G27" s="158">
        <f>SUM(G23:G24)</f>
        <v>213185.72</v>
      </c>
      <c r="H27" s="158">
        <f>H23+H24</f>
        <v>196305.68999999997</v>
      </c>
      <c r="I27" s="158">
        <f>SUM(I23:I24)</f>
        <v>175714.88999999996</v>
      </c>
      <c r="J27" s="158">
        <f>J23+J24</f>
        <v>174352.23</v>
      </c>
      <c r="K27" s="356"/>
      <c r="L27" s="158"/>
      <c r="M27" s="158"/>
      <c r="N27" s="158"/>
      <c r="O27" s="158">
        <f t="shared" si="2"/>
        <v>1584947.0899999999</v>
      </c>
      <c r="P27" s="329">
        <f t="shared" si="0"/>
        <v>1.2720234558361707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70</v>
      </c>
      <c r="H30" s="3"/>
      <c r="I30" s="3"/>
      <c r="J30" s="3"/>
      <c r="K30" s="3"/>
      <c r="L30" s="3" t="s">
        <v>49</v>
      </c>
      <c r="M30" s="8"/>
      <c r="O30" s="297"/>
      <c r="P30" s="331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7"/>
      <c r="P31" s="331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7"/>
      <c r="P32" s="331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2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62</v>
      </c>
      <c r="E1" s="9"/>
      <c r="F1" s="9"/>
      <c r="G1" s="9"/>
      <c r="H1" s="9"/>
      <c r="K1" s="10" t="str">
        <f>สรุปยอด!C3</f>
        <v xml:space="preserve"> ปีงบประมาณ   2563</v>
      </c>
      <c r="L1" s="9"/>
      <c r="M1" s="9"/>
      <c r="N1" s="9"/>
      <c r="O1" s="161"/>
      <c r="P1" s="314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27/5/64</v>
      </c>
      <c r="O2" s="164"/>
      <c r="P2" s="314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4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4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65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5" t="e">
        <f t="shared" si="0"/>
        <v>#DIV/0!</v>
      </c>
    </row>
    <row r="24" spans="1:16" s="348" customFormat="1" ht="17.25" customHeight="1" x14ac:dyDescent="0.2">
      <c r="A24" s="30">
        <v>19</v>
      </c>
      <c r="B24" s="31" t="s">
        <v>16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7"/>
      <c r="P24" s="332" t="e">
        <f t="shared" si="0"/>
        <v>#DIV/0!</v>
      </c>
    </row>
    <row r="25" spans="1:16" s="348" customFormat="1" ht="17.25" customHeight="1" x14ac:dyDescent="0.2">
      <c r="A25" s="30">
        <v>20</v>
      </c>
      <c r="B25" s="28" t="s">
        <v>17</v>
      </c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7"/>
      <c r="P25" s="332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49" t="e">
        <f t="shared" si="0"/>
        <v>#DIV/0!</v>
      </c>
    </row>
    <row r="27" spans="1:16" s="352" customFormat="1" ht="17.25" customHeight="1" x14ac:dyDescent="0.2">
      <c r="A27" s="202" t="s">
        <v>66</v>
      </c>
      <c r="B27" s="216" t="s">
        <v>25</v>
      </c>
      <c r="C27" s="350"/>
      <c r="D27" s="350"/>
      <c r="E27" s="350"/>
      <c r="F27" s="350">
        <v>0</v>
      </c>
      <c r="G27" s="350">
        <v>0</v>
      </c>
      <c r="H27" s="350"/>
      <c r="I27" s="350"/>
      <c r="J27" s="350"/>
      <c r="K27" s="350"/>
      <c r="L27" s="350"/>
      <c r="M27" s="350"/>
      <c r="N27" s="350"/>
      <c r="O27" s="278"/>
      <c r="P27" s="351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B9" zoomScale="154" zoomScaleNormal="154" workbookViewId="0">
      <selection activeCell="J28" sqref="J28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3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85</v>
      </c>
      <c r="E1" s="88"/>
      <c r="F1" s="88"/>
      <c r="G1" s="88"/>
      <c r="H1" s="88"/>
      <c r="K1" s="87" t="str">
        <f>สรุปยอด!C3</f>
        <v xml:space="preserve"> ปีงบประมาณ   2563</v>
      </c>
      <c r="L1" s="88"/>
      <c r="M1" s="88"/>
      <c r="N1" s="88"/>
      <c r="O1" s="88"/>
      <c r="P1" s="327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27/5/64</v>
      </c>
      <c r="O2" s="91"/>
      <c r="P2" s="327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7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8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33619+1476+10547.52</f>
        <v>45642.520000000004</v>
      </c>
      <c r="D5" s="92">
        <f>15930+31705</f>
        <v>47635</v>
      </c>
      <c r="E5" s="92">
        <f>56567+512</f>
        <v>57079</v>
      </c>
      <c r="F5" s="92">
        <f>49701</f>
        <v>49701</v>
      </c>
      <c r="G5" s="92">
        <v>57027</v>
      </c>
      <c r="H5" s="92">
        <f>3600+35807</f>
        <v>39407</v>
      </c>
      <c r="I5" s="92">
        <f>9803.5+34595+61424</f>
        <v>105822.5</v>
      </c>
      <c r="J5" s="92">
        <f>2988.5+49505</f>
        <v>52493.5</v>
      </c>
      <c r="K5" s="92"/>
      <c r="L5" s="92"/>
      <c r="M5" s="92"/>
      <c r="N5" s="92"/>
      <c r="O5" s="304">
        <f>SUM(C5:N5)</f>
        <v>454807.52</v>
      </c>
      <c r="P5" s="339">
        <f>O5/$O$23</f>
        <v>0.22674560028451815</v>
      </c>
    </row>
    <row r="6" spans="1:17" s="20" customFormat="1" ht="19.5" customHeight="1" x14ac:dyDescent="0.2">
      <c r="A6" s="5">
        <v>2</v>
      </c>
      <c r="B6" s="34" t="s">
        <v>19</v>
      </c>
      <c r="C6" s="92">
        <v>36295.300000000003</v>
      </c>
      <c r="D6" s="92">
        <f>26524+640</f>
        <v>27164</v>
      </c>
      <c r="E6" s="92">
        <f>35801.3+900+1075</f>
        <v>37776.300000000003</v>
      </c>
      <c r="F6" s="92">
        <v>16240</v>
      </c>
      <c r="G6" s="92">
        <f>32234+500</f>
        <v>32734</v>
      </c>
      <c r="H6" s="92">
        <f>2160+500+17899+5352+4500</f>
        <v>30411</v>
      </c>
      <c r="I6" s="92">
        <f>2741+27713+8400</f>
        <v>38854</v>
      </c>
      <c r="J6" s="92">
        <f>22110+8400+4500</f>
        <v>35010</v>
      </c>
      <c r="K6" s="92"/>
      <c r="L6" s="92"/>
      <c r="M6" s="92"/>
      <c r="N6" s="92"/>
      <c r="O6" s="304">
        <f t="shared" ref="O6:O22" si="0">SUM(C6:N6)</f>
        <v>254484.6</v>
      </c>
      <c r="P6" s="339">
        <f t="shared" ref="P6:P27" si="1">O6/$O$23</f>
        <v>0.12687403099703692</v>
      </c>
    </row>
    <row r="7" spans="1:17" s="20" customFormat="1" ht="19.5" customHeight="1" x14ac:dyDescent="0.2">
      <c r="A7" s="5">
        <v>3</v>
      </c>
      <c r="B7" s="34" t="s">
        <v>20</v>
      </c>
      <c r="C7" s="92">
        <f>10889+7206</f>
        <v>18095</v>
      </c>
      <c r="D7" s="92">
        <f>12263.5+2250</f>
        <v>14513.5</v>
      </c>
      <c r="E7" s="92">
        <v>10602.65</v>
      </c>
      <c r="F7" s="92">
        <v>8187.5</v>
      </c>
      <c r="G7" s="92">
        <v>9579</v>
      </c>
      <c r="H7" s="92">
        <v>6275</v>
      </c>
      <c r="I7" s="92">
        <f>3450+12840</f>
        <v>16290</v>
      </c>
      <c r="J7" s="92">
        <f>15482</f>
        <v>15482</v>
      </c>
      <c r="K7" s="92"/>
      <c r="L7" s="92"/>
      <c r="M7" s="92"/>
      <c r="N7" s="92"/>
      <c r="O7" s="304">
        <f t="shared" si="0"/>
        <v>99024.65</v>
      </c>
      <c r="P7" s="339">
        <f t="shared" si="1"/>
        <v>4.9369024740871278E-2</v>
      </c>
    </row>
    <row r="8" spans="1:17" s="20" customFormat="1" ht="19.5" customHeight="1" x14ac:dyDescent="0.2">
      <c r="A8" s="5">
        <v>4</v>
      </c>
      <c r="B8" s="34" t="s">
        <v>21</v>
      </c>
      <c r="C8" s="92">
        <v>2700</v>
      </c>
      <c r="D8" s="92">
        <v>32348.880000000001</v>
      </c>
      <c r="E8" s="92">
        <v>45831</v>
      </c>
      <c r="F8" s="92">
        <v>0</v>
      </c>
      <c r="G8" s="92">
        <f>61915</f>
        <v>61915</v>
      </c>
      <c r="H8" s="92">
        <f>535+19530</f>
        <v>20065</v>
      </c>
      <c r="I8" s="92">
        <f>4200+17160</f>
        <v>21360</v>
      </c>
      <c r="J8" s="92">
        <v>0</v>
      </c>
      <c r="K8" s="92"/>
      <c r="L8" s="92"/>
      <c r="M8" s="92"/>
      <c r="N8" s="92"/>
      <c r="O8" s="304">
        <f t="shared" si="0"/>
        <v>184219.88</v>
      </c>
      <c r="P8" s="339">
        <f t="shared" si="1"/>
        <v>9.1843352271180345E-2</v>
      </c>
    </row>
    <row r="9" spans="1:17" s="20" customFormat="1" ht="19.5" customHeight="1" x14ac:dyDescent="0.2">
      <c r="A9" s="5">
        <v>5</v>
      </c>
      <c r="B9" s="34" t="s">
        <v>2</v>
      </c>
      <c r="C9" s="92">
        <f>880+5232</f>
        <v>6112</v>
      </c>
      <c r="D9" s="92">
        <f>5100+10423.15</f>
        <v>15523.15</v>
      </c>
      <c r="E9" s="92">
        <f>21958+360</f>
        <v>22318</v>
      </c>
      <c r="F9" s="92">
        <f>7350+4500</f>
        <v>11850</v>
      </c>
      <c r="G9" s="92">
        <v>6761</v>
      </c>
      <c r="H9" s="92">
        <f>2420+4500</f>
        <v>6920</v>
      </c>
      <c r="I9" s="92">
        <f>1500+214+704+13389</f>
        <v>15807</v>
      </c>
      <c r="J9" s="92">
        <f>15302</f>
        <v>15302</v>
      </c>
      <c r="K9" s="92"/>
      <c r="L9" s="92"/>
      <c r="M9" s="92"/>
      <c r="N9" s="92"/>
      <c r="O9" s="304">
        <f t="shared" si="0"/>
        <v>100593.15</v>
      </c>
      <c r="P9" s="339">
        <f t="shared" si="1"/>
        <v>5.0151004937782413E-2</v>
      </c>
    </row>
    <row r="10" spans="1:17" s="20" customFormat="1" ht="19.5" customHeight="1" x14ac:dyDescent="0.2">
      <c r="A10" s="5">
        <v>6</v>
      </c>
      <c r="B10" s="34" t="s">
        <v>3</v>
      </c>
      <c r="C10" s="92">
        <v>3890</v>
      </c>
      <c r="D10" s="92">
        <v>10375.15</v>
      </c>
      <c r="E10" s="92">
        <v>6937</v>
      </c>
      <c r="F10" s="92">
        <f>4954+450</f>
        <v>5404</v>
      </c>
      <c r="G10" s="92">
        <v>0</v>
      </c>
      <c r="H10" s="92">
        <f>8516.5</f>
        <v>8516.5</v>
      </c>
      <c r="I10" s="92">
        <f>18385</f>
        <v>18385</v>
      </c>
      <c r="J10" s="92">
        <f>450+13471</f>
        <v>13921</v>
      </c>
      <c r="K10" s="92"/>
      <c r="L10" s="92"/>
      <c r="M10" s="92"/>
      <c r="N10" s="92"/>
      <c r="O10" s="304">
        <f t="shared" si="0"/>
        <v>67428.649999999994</v>
      </c>
      <c r="P10" s="339">
        <f t="shared" si="1"/>
        <v>3.3616747851101213E-2</v>
      </c>
    </row>
    <row r="11" spans="1:17" s="20" customFormat="1" ht="19.5" customHeight="1" x14ac:dyDescent="0.2">
      <c r="A11" s="5">
        <v>7</v>
      </c>
      <c r="B11" s="34" t="s">
        <v>4</v>
      </c>
      <c r="C11" s="92">
        <v>0</v>
      </c>
      <c r="D11" s="92">
        <v>3235</v>
      </c>
      <c r="E11" s="92">
        <v>0</v>
      </c>
      <c r="F11" s="92">
        <v>6735</v>
      </c>
      <c r="G11" s="92">
        <v>13205.5</v>
      </c>
      <c r="H11" s="92">
        <f>6560</f>
        <v>6560</v>
      </c>
      <c r="I11" s="92">
        <v>9510</v>
      </c>
      <c r="J11" s="92">
        <f>10320+2782</f>
        <v>13102</v>
      </c>
      <c r="K11" s="92"/>
      <c r="L11" s="92"/>
      <c r="M11" s="92"/>
      <c r="N11" s="92"/>
      <c r="O11" s="304">
        <f t="shared" si="0"/>
        <v>52347.5</v>
      </c>
      <c r="P11" s="339">
        <f t="shared" si="1"/>
        <v>2.6097997040360751E-2</v>
      </c>
    </row>
    <row r="12" spans="1:17" s="20" customFormat="1" ht="19.5" customHeight="1" x14ac:dyDescent="0.2">
      <c r="A12" s="5">
        <v>8</v>
      </c>
      <c r="B12" s="34" t="s">
        <v>5</v>
      </c>
      <c r="C12" s="92">
        <v>29975</v>
      </c>
      <c r="D12" s="92">
        <f>9994.35+5988.65</f>
        <v>15983</v>
      </c>
      <c r="E12" s="92">
        <f>2193.5+16841.6</f>
        <v>19035.099999999999</v>
      </c>
      <c r="F12" s="92">
        <f>6392+8673</f>
        <v>15065</v>
      </c>
      <c r="G12" s="92">
        <f>20213+11572+2430</f>
        <v>34215</v>
      </c>
      <c r="H12" s="92">
        <f>13802.5+10292</f>
        <v>24094.5</v>
      </c>
      <c r="I12" s="92">
        <f>16940+4750</f>
        <v>21690</v>
      </c>
      <c r="J12" s="92">
        <f>13450+1602+4780</f>
        <v>19832</v>
      </c>
      <c r="K12" s="92"/>
      <c r="L12" s="92"/>
      <c r="M12" s="92"/>
      <c r="N12" s="92"/>
      <c r="O12" s="304">
        <f t="shared" si="0"/>
        <v>179889.6</v>
      </c>
      <c r="P12" s="339">
        <f t="shared" si="1"/>
        <v>8.9684478693188394E-2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0</v>
      </c>
      <c r="D13" s="92">
        <f>1391+8226</f>
        <v>9617</v>
      </c>
      <c r="E13" s="92">
        <v>3627</v>
      </c>
      <c r="F13" s="92">
        <f>2100</f>
        <v>2100</v>
      </c>
      <c r="G13" s="92">
        <v>8640.5</v>
      </c>
      <c r="H13" s="92">
        <v>8412.5</v>
      </c>
      <c r="I13" s="92">
        <f>8940</f>
        <v>8940</v>
      </c>
      <c r="J13" s="92">
        <v>7188</v>
      </c>
      <c r="K13" s="92"/>
      <c r="L13" s="92"/>
      <c r="M13" s="92"/>
      <c r="N13" s="92"/>
      <c r="O13" s="304">
        <f t="shared" si="0"/>
        <v>48525</v>
      </c>
      <c r="P13" s="339">
        <f t="shared" si="1"/>
        <v>2.4192278645274474E-2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0</v>
      </c>
      <c r="D14" s="92">
        <v>9304.92</v>
      </c>
      <c r="E14" s="92">
        <v>10901</v>
      </c>
      <c r="F14" s="92">
        <f>3500</f>
        <v>3500</v>
      </c>
      <c r="G14" s="92">
        <f>6042.5</f>
        <v>6042.5</v>
      </c>
      <c r="H14" s="92">
        <v>0</v>
      </c>
      <c r="I14" s="92">
        <f>12369.5+3510</f>
        <v>15879.5</v>
      </c>
      <c r="J14" s="92">
        <v>5314</v>
      </c>
      <c r="K14" s="92"/>
      <c r="L14" s="92"/>
      <c r="M14" s="92"/>
      <c r="N14" s="92"/>
      <c r="O14" s="304">
        <f t="shared" si="0"/>
        <v>50941.919999999998</v>
      </c>
      <c r="P14" s="339">
        <f t="shared" si="1"/>
        <v>2.5397241079140247E-2</v>
      </c>
    </row>
    <row r="15" spans="1:17" s="20" customFormat="1" ht="19.5" customHeight="1" x14ac:dyDescent="0.2">
      <c r="A15" s="5">
        <v>11</v>
      </c>
      <c r="B15" s="34" t="s">
        <v>8</v>
      </c>
      <c r="C15" s="92">
        <v>13945.15</v>
      </c>
      <c r="D15" s="92">
        <v>0</v>
      </c>
      <c r="E15" s="92">
        <f>12923+17672.5</f>
        <v>30595.5</v>
      </c>
      <c r="F15" s="92">
        <v>3420</v>
      </c>
      <c r="G15" s="92">
        <v>8848.0499999999993</v>
      </c>
      <c r="H15" s="92">
        <f>7757</f>
        <v>7757</v>
      </c>
      <c r="I15" s="92">
        <f>11930+12975</f>
        <v>24905</v>
      </c>
      <c r="J15" s="92">
        <v>5692</v>
      </c>
      <c r="K15" s="92"/>
      <c r="L15" s="92"/>
      <c r="M15" s="92"/>
      <c r="N15" s="92"/>
      <c r="O15" s="304">
        <f t="shared" si="0"/>
        <v>95162.7</v>
      </c>
      <c r="P15" s="339">
        <f t="shared" si="1"/>
        <v>4.7443638434552522E-2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4804.5</v>
      </c>
      <c r="D16" s="92">
        <v>3884</v>
      </c>
      <c r="E16" s="92">
        <v>4812</v>
      </c>
      <c r="F16" s="92">
        <f>1924+2782+900</f>
        <v>5606</v>
      </c>
      <c r="G16" s="92">
        <f>4255+267.5</f>
        <v>4522.5</v>
      </c>
      <c r="H16" s="92">
        <f>2924.5+900</f>
        <v>3824.5</v>
      </c>
      <c r="I16" s="92">
        <f>540+7453</f>
        <v>7993</v>
      </c>
      <c r="J16" s="92">
        <f>5391.5</f>
        <v>5391.5</v>
      </c>
      <c r="K16" s="92"/>
      <c r="L16" s="92"/>
      <c r="M16" s="92"/>
      <c r="N16" s="92"/>
      <c r="O16" s="304">
        <f t="shared" si="0"/>
        <v>40838</v>
      </c>
      <c r="P16" s="339">
        <f t="shared" si="1"/>
        <v>2.0359902634017907E-2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f>3485+2673</f>
        <v>6158</v>
      </c>
      <c r="D17" s="92">
        <v>5762.8</v>
      </c>
      <c r="E17" s="92">
        <v>0</v>
      </c>
      <c r="F17" s="92">
        <v>6181.5</v>
      </c>
      <c r="G17" s="92">
        <v>6095</v>
      </c>
      <c r="H17" s="92">
        <f>1700+162+267.5+1750+500</f>
        <v>4379.5</v>
      </c>
      <c r="I17" s="92">
        <f>3531+8407.25</f>
        <v>11938.25</v>
      </c>
      <c r="J17" s="92">
        <f>6926</f>
        <v>6926</v>
      </c>
      <c r="K17" s="92"/>
      <c r="L17" s="92"/>
      <c r="M17" s="92"/>
      <c r="N17" s="92"/>
      <c r="O17" s="304">
        <f t="shared" si="0"/>
        <v>47441.05</v>
      </c>
      <c r="P17" s="339">
        <f t="shared" si="1"/>
        <v>2.3651872247798016E-2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3955.5</v>
      </c>
      <c r="D18" s="92">
        <v>1490</v>
      </c>
      <c r="E18" s="92">
        <v>3181.4</v>
      </c>
      <c r="F18" s="92">
        <v>2100</v>
      </c>
      <c r="G18" s="92">
        <f>10735.16-350-950-105-195</f>
        <v>9135.16</v>
      </c>
      <c r="H18" s="92">
        <v>0</v>
      </c>
      <c r="I18" s="92">
        <f>8441</f>
        <v>8441</v>
      </c>
      <c r="J18" s="92">
        <f>4580</f>
        <v>4580</v>
      </c>
      <c r="K18" s="92"/>
      <c r="L18" s="92"/>
      <c r="M18" s="92"/>
      <c r="N18" s="92"/>
      <c r="O18" s="304">
        <f t="shared" si="0"/>
        <v>32883.06</v>
      </c>
      <c r="P18" s="339">
        <f t="shared" si="1"/>
        <v>1.6393944363303024E-2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44163.519999999997</v>
      </c>
      <c r="D19" s="92">
        <v>7422.46</v>
      </c>
      <c r="E19" s="92">
        <v>11708.6</v>
      </c>
      <c r="F19" s="92">
        <v>8035</v>
      </c>
      <c r="G19" s="92">
        <v>0</v>
      </c>
      <c r="H19" s="92">
        <f>28761.5+1440+13500</f>
        <v>43701.5</v>
      </c>
      <c r="I19" s="92">
        <f>1070+4500</f>
        <v>5570</v>
      </c>
      <c r="J19" s="92">
        <f>11000</f>
        <v>11000</v>
      </c>
      <c r="K19" s="92"/>
      <c r="L19" s="92"/>
      <c r="M19" s="92"/>
      <c r="N19" s="92"/>
      <c r="O19" s="304">
        <f t="shared" si="0"/>
        <v>131601.07999999999</v>
      </c>
      <c r="P19" s="339">
        <f t="shared" si="1"/>
        <v>6.5610097833674538E-2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f>9430.92+90+1350+2100+3750</f>
        <v>16720.919999999998</v>
      </c>
      <c r="E20" s="92">
        <v>2250</v>
      </c>
      <c r="F20" s="92">
        <v>5297.5</v>
      </c>
      <c r="G20" s="92">
        <v>9747</v>
      </c>
      <c r="H20" s="92">
        <v>4176</v>
      </c>
      <c r="I20" s="92">
        <v>6452.74</v>
      </c>
      <c r="J20" s="92">
        <f>7828+500</f>
        <v>8328</v>
      </c>
      <c r="K20" s="92"/>
      <c r="L20" s="92"/>
      <c r="M20" s="92"/>
      <c r="N20" s="92"/>
      <c r="O20" s="304">
        <f t="shared" si="0"/>
        <v>52972.159999999996</v>
      </c>
      <c r="P20" s="339">
        <f t="shared" si="1"/>
        <v>2.6409423084225916E-2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f>3439.92+10450</f>
        <v>13889.92</v>
      </c>
      <c r="D21" s="92">
        <v>8393</v>
      </c>
      <c r="E21" s="92">
        <v>6574</v>
      </c>
      <c r="F21" s="92">
        <v>11377</v>
      </c>
      <c r="G21" s="92">
        <f>5455</f>
        <v>5455</v>
      </c>
      <c r="H21" s="92">
        <v>10767</v>
      </c>
      <c r="I21" s="92">
        <f>400+720+12130+1712+2861</f>
        <v>17823</v>
      </c>
      <c r="J21" s="92">
        <f>8726+7744</f>
        <v>16470</v>
      </c>
      <c r="K21" s="92"/>
      <c r="L21" s="92"/>
      <c r="M21" s="92"/>
      <c r="N21" s="92"/>
      <c r="O21" s="304">
        <f t="shared" si="0"/>
        <v>90748.92</v>
      </c>
      <c r="P21" s="339">
        <f t="shared" si="1"/>
        <v>4.5243135690834033E-2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3219.1</v>
      </c>
      <c r="D22" s="92">
        <f>6854.23+4375</f>
        <v>11229.23</v>
      </c>
      <c r="E22" s="92">
        <v>0</v>
      </c>
      <c r="F22" s="92">
        <v>0</v>
      </c>
      <c r="G22" s="92">
        <v>0</v>
      </c>
      <c r="H22" s="92">
        <f>1905.5+100</f>
        <v>2005.5</v>
      </c>
      <c r="I22" s="92">
        <f>7447.5</f>
        <v>7447.5</v>
      </c>
      <c r="J22" s="92">
        <v>0</v>
      </c>
      <c r="K22" s="92"/>
      <c r="L22" s="92"/>
      <c r="M22" s="92"/>
      <c r="N22" s="92"/>
      <c r="O22" s="304">
        <f t="shared" si="0"/>
        <v>23901.33</v>
      </c>
      <c r="P22" s="339">
        <f t="shared" si="1"/>
        <v>1.1916076977901251E-2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5">
        <f>C22+C21+C20+C19+C18+C17+C16+C15+C14+C13+C12+C11+C10+C9+C8+C7+C6+C5</f>
        <v>232845.51</v>
      </c>
      <c r="D23" s="96">
        <f>D21+D22+D20+D19+D18+D17+D16+D15+D14+D13+D12+D11+D10+D9+D8+D7+D6+D5</f>
        <v>240602.00999999998</v>
      </c>
      <c r="E23" s="96">
        <f>E21+E20+E19+E18+E17+E16+E15+E14+E13+E12+E11+E10+E9+E8+E7+E6+E5</f>
        <v>273228.55</v>
      </c>
      <c r="F23" s="355">
        <f>F21+F20+F19+F18+F17+F16+F15+F14+F13+F12+F11+F10+F9+F8+F7+F6+F5</f>
        <v>160799.5</v>
      </c>
      <c r="G23" s="96">
        <f>SUM(G5:G22)</f>
        <v>273922.20999999996</v>
      </c>
      <c r="H23" s="96">
        <f>SUM(H5:H21)</f>
        <v>225267</v>
      </c>
      <c r="I23" s="96">
        <f>SUM(I5:I22)</f>
        <v>363108.49</v>
      </c>
      <c r="J23" s="96">
        <f>SUM(J5:J22)</f>
        <v>236032</v>
      </c>
      <c r="K23" s="96"/>
      <c r="L23" s="96"/>
      <c r="M23" s="96"/>
      <c r="N23" s="96"/>
      <c r="O23" s="305">
        <f t="shared" ref="O23:O26" si="2">SUM(C23:N23)</f>
        <v>2005805.27</v>
      </c>
      <c r="P23" s="340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v>8893.1</v>
      </c>
      <c r="D24" s="93">
        <v>12857.84</v>
      </c>
      <c r="E24" s="93">
        <v>36586</v>
      </c>
      <c r="F24" s="93">
        <f>1020+4173+4500+5400</f>
        <v>15093</v>
      </c>
      <c r="G24" s="93">
        <f>28973+500+10380</f>
        <v>39853</v>
      </c>
      <c r="H24" s="93">
        <f>4387+4696</f>
        <v>9083</v>
      </c>
      <c r="I24" s="93">
        <f>37390+21974.2</f>
        <v>59364.2</v>
      </c>
      <c r="J24" s="93">
        <v>0</v>
      </c>
      <c r="K24" s="93"/>
      <c r="L24" s="93"/>
      <c r="M24" s="93"/>
      <c r="N24" s="93"/>
      <c r="O24" s="306">
        <f t="shared" si="2"/>
        <v>181730.14</v>
      </c>
      <c r="P24" s="341">
        <f t="shared" si="1"/>
        <v>9.060208521637797E-2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/>
      <c r="L25" s="93"/>
      <c r="M25" s="93"/>
      <c r="N25" s="93"/>
      <c r="O25" s="306">
        <f t="shared" si="2"/>
        <v>0</v>
      </c>
      <c r="P25" s="341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f>C24</f>
        <v>8893.1</v>
      </c>
      <c r="D26" s="99">
        <f>D24</f>
        <v>12857.84</v>
      </c>
      <c r="E26" s="99">
        <f>E24</f>
        <v>36586</v>
      </c>
      <c r="F26" s="361">
        <f>F24</f>
        <v>15093</v>
      </c>
      <c r="G26" s="99">
        <f>SUM(G24)</f>
        <v>39853</v>
      </c>
      <c r="H26" s="99">
        <f>H24</f>
        <v>9083</v>
      </c>
      <c r="I26" s="99">
        <f>I24</f>
        <v>59364.2</v>
      </c>
      <c r="J26" s="99">
        <v>0</v>
      </c>
      <c r="K26" s="99"/>
      <c r="L26" s="99"/>
      <c r="M26" s="99"/>
      <c r="N26" s="99"/>
      <c r="O26" s="307">
        <f t="shared" si="2"/>
        <v>181730.14</v>
      </c>
      <c r="P26" s="342">
        <f t="shared" si="1"/>
        <v>9.060208521637797E-2</v>
      </c>
    </row>
    <row r="27" spans="1:16" s="134" customFormat="1" ht="22.5" customHeight="1" x14ac:dyDescent="0.2">
      <c r="A27" s="155" t="s">
        <v>26</v>
      </c>
      <c r="B27" s="159" t="s">
        <v>25</v>
      </c>
      <c r="C27" s="356">
        <f>C24+C23</f>
        <v>241738.61000000002</v>
      </c>
      <c r="D27" s="158">
        <f>D24+D23</f>
        <v>253459.84999999998</v>
      </c>
      <c r="E27" s="158">
        <f>E24+E23</f>
        <v>309814.55</v>
      </c>
      <c r="F27" s="356">
        <f>F24+F23</f>
        <v>175892.5</v>
      </c>
      <c r="G27" s="158">
        <f>SUM(F23:G26)</f>
        <v>544613.71</v>
      </c>
      <c r="H27" s="356">
        <f>H24+H23</f>
        <v>234350</v>
      </c>
      <c r="I27" s="158">
        <f>SUM(I23:I24)</f>
        <v>422472.69</v>
      </c>
      <c r="J27" s="356">
        <f>J23</f>
        <v>236032</v>
      </c>
      <c r="K27" s="158"/>
      <c r="L27" s="158"/>
      <c r="M27" s="158"/>
      <c r="N27" s="158"/>
      <c r="O27" s="158">
        <f>SUM(C27:N27)</f>
        <v>2418373.91</v>
      </c>
      <c r="P27" s="329">
        <f t="shared" si="1"/>
        <v>1.2056872848878297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2" t="s">
        <v>71</v>
      </c>
      <c r="H30" s="362"/>
      <c r="I30" s="362"/>
      <c r="J30" s="56"/>
      <c r="K30" s="56"/>
      <c r="L30" s="362" t="s">
        <v>49</v>
      </c>
      <c r="M30" s="362"/>
      <c r="N30" s="362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4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63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3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3"/>
      <c r="Q2" s="179"/>
    </row>
    <row r="3" spans="1:17" s="171" customFormat="1" ht="4.5" customHeight="1" x14ac:dyDescent="0.45">
      <c r="O3" s="169"/>
      <c r="P3" s="334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5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2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2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2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2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2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2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2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2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2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2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2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2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2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2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2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2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2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2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1"/>
      <c r="P23" s="313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2">
        <f t="shared" ref="O24:O27" si="1">SUM(C24:N24)</f>
        <v>0</v>
      </c>
      <c r="P24" s="336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2">
        <f t="shared" si="1"/>
        <v>0</v>
      </c>
      <c r="P25" s="336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3">
        <f t="shared" si="1"/>
        <v>0</v>
      </c>
      <c r="P26" s="317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7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topLeftCell="A7" zoomScale="160" zoomScaleNormal="160" workbookViewId="0">
      <selection activeCell="J27" sqref="J27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2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64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2563</v>
      </c>
      <c r="L1" s="147"/>
      <c r="M1" s="147"/>
      <c r="N1" s="147"/>
      <c r="O1" s="147"/>
      <c r="P1" s="321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27/5/64</v>
      </c>
      <c r="O2" s="147"/>
      <c r="P2" s="321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6" t="s">
        <v>40</v>
      </c>
    </row>
    <row r="5" spans="1:17" ht="18" customHeight="1" x14ac:dyDescent="0.2">
      <c r="A5" s="25">
        <v>1</v>
      </c>
      <c r="B5" s="26" t="s">
        <v>18</v>
      </c>
      <c r="C5" s="129">
        <v>7945.13</v>
      </c>
      <c r="D5" s="129">
        <v>9358.77</v>
      </c>
      <c r="E5" s="129">
        <v>10979.62</v>
      </c>
      <c r="F5" s="129">
        <v>18540.14</v>
      </c>
      <c r="G5" s="129">
        <v>11178.14</v>
      </c>
      <c r="H5" s="129">
        <v>5513.95</v>
      </c>
      <c r="I5" s="129">
        <v>5729.01</v>
      </c>
      <c r="J5" s="129">
        <f>9636.72</f>
        <v>9636.7199999999993</v>
      </c>
      <c r="K5" s="129"/>
      <c r="L5" s="129"/>
      <c r="M5" s="129"/>
      <c r="N5" s="129"/>
      <c r="O5" s="298"/>
      <c r="P5" s="286" t="e">
        <f t="shared" ref="P5:P27" si="0">O5/$O$23</f>
        <v>#DIV/0!</v>
      </c>
    </row>
    <row r="6" spans="1:17" ht="18" customHeight="1" x14ac:dyDescent="0.2">
      <c r="A6" s="25">
        <v>2</v>
      </c>
      <c r="B6" s="26" t="s">
        <v>19</v>
      </c>
      <c r="C6" s="129">
        <v>3784.55</v>
      </c>
      <c r="D6" s="129">
        <v>6242.92</v>
      </c>
      <c r="E6" s="129">
        <v>8757.7900000000009</v>
      </c>
      <c r="F6" s="129">
        <v>584.21</v>
      </c>
      <c r="G6" s="129">
        <v>8205.81</v>
      </c>
      <c r="H6" s="129">
        <v>7799.95</v>
      </c>
      <c r="I6" s="129">
        <v>11296.95</v>
      </c>
      <c r="J6" s="129">
        <v>9580</v>
      </c>
      <c r="K6" s="129"/>
      <c r="L6" s="129"/>
      <c r="M6" s="129"/>
      <c r="N6" s="129"/>
      <c r="O6" s="298"/>
      <c r="P6" s="286" t="e">
        <f t="shared" si="0"/>
        <v>#DIV/0!</v>
      </c>
    </row>
    <row r="7" spans="1:17" ht="18" customHeight="1" x14ac:dyDescent="0.2">
      <c r="A7" s="25">
        <v>3</v>
      </c>
      <c r="B7" s="26" t="s">
        <v>20</v>
      </c>
      <c r="C7" s="129">
        <v>7220.6</v>
      </c>
      <c r="D7" s="129">
        <v>7975.94</v>
      </c>
      <c r="E7" s="129">
        <v>7242.9</v>
      </c>
      <c r="F7" s="129">
        <v>5529.99</v>
      </c>
      <c r="G7" s="129">
        <v>9985.41</v>
      </c>
      <c r="H7" s="129">
        <v>5420.26</v>
      </c>
      <c r="I7" s="129">
        <v>6647.54</v>
      </c>
      <c r="J7" s="129">
        <v>3631.99</v>
      </c>
      <c r="K7" s="129"/>
      <c r="L7" s="129"/>
      <c r="M7" s="129"/>
      <c r="N7" s="129"/>
      <c r="O7" s="298"/>
      <c r="P7" s="286" t="e">
        <f t="shared" si="0"/>
        <v>#DIV/0!</v>
      </c>
    </row>
    <row r="8" spans="1:17" ht="18" customHeight="1" x14ac:dyDescent="0.2">
      <c r="A8" s="25">
        <v>4</v>
      </c>
      <c r="B8" s="26" t="s">
        <v>21</v>
      </c>
      <c r="C8" s="129">
        <v>16399.189999999999</v>
      </c>
      <c r="D8" s="129">
        <v>14133.99</v>
      </c>
      <c r="E8" s="129">
        <v>20753.66</v>
      </c>
      <c r="F8" s="129">
        <v>20015.45</v>
      </c>
      <c r="G8" s="129">
        <v>20871.28</v>
      </c>
      <c r="H8" s="129">
        <v>0</v>
      </c>
      <c r="I8" s="129">
        <v>15222.24</v>
      </c>
      <c r="J8" s="129">
        <v>11980.84</v>
      </c>
      <c r="K8" s="129"/>
      <c r="L8" s="129"/>
      <c r="M8" s="129"/>
      <c r="N8" s="129"/>
      <c r="O8" s="298"/>
      <c r="P8" s="286" t="e">
        <f t="shared" si="0"/>
        <v>#DIV/0!</v>
      </c>
    </row>
    <row r="9" spans="1:17" ht="18" customHeight="1" x14ac:dyDescent="0.2">
      <c r="A9" s="25">
        <v>5</v>
      </c>
      <c r="B9" s="26" t="s">
        <v>2</v>
      </c>
      <c r="C9" s="129">
        <v>4820.0200000000004</v>
      </c>
      <c r="D9" s="129">
        <v>3682.99</v>
      </c>
      <c r="E9" s="129">
        <v>11273.08</v>
      </c>
      <c r="F9" s="129">
        <v>0</v>
      </c>
      <c r="G9" s="129">
        <v>10049.299999999999</v>
      </c>
      <c r="H9" s="129">
        <v>5025.54</v>
      </c>
      <c r="I9" s="129">
        <v>10049.030000000001</v>
      </c>
      <c r="J9" s="129"/>
      <c r="K9" s="129"/>
      <c r="L9" s="129"/>
      <c r="M9" s="129"/>
      <c r="N9" s="129"/>
      <c r="O9" s="298"/>
      <c r="P9" s="286" t="e">
        <f t="shared" si="0"/>
        <v>#DIV/0!</v>
      </c>
    </row>
    <row r="10" spans="1:17" ht="18" customHeight="1" x14ac:dyDescent="0.2">
      <c r="A10" s="25">
        <v>6</v>
      </c>
      <c r="B10" s="26" t="s">
        <v>3</v>
      </c>
      <c r="C10" s="129">
        <v>4934.99</v>
      </c>
      <c r="D10" s="129">
        <v>11124.69</v>
      </c>
      <c r="E10" s="129">
        <v>3702.69</v>
      </c>
      <c r="F10" s="129">
        <v>2271.2399999999998</v>
      </c>
      <c r="G10" s="129">
        <v>8833.74</v>
      </c>
      <c r="H10" s="129">
        <v>3772.45</v>
      </c>
      <c r="I10" s="129">
        <v>8818.3700000000008</v>
      </c>
      <c r="J10" s="129">
        <v>6800.65</v>
      </c>
      <c r="K10" s="129"/>
      <c r="L10" s="129"/>
      <c r="M10" s="129"/>
      <c r="N10" s="129"/>
      <c r="O10" s="298"/>
      <c r="P10" s="286" t="e">
        <f t="shared" si="0"/>
        <v>#DIV/0!</v>
      </c>
    </row>
    <row r="11" spans="1:17" ht="18" customHeight="1" x14ac:dyDescent="0.2">
      <c r="A11" s="25">
        <v>7</v>
      </c>
      <c r="B11" s="26" t="s">
        <v>4</v>
      </c>
      <c r="C11" s="129">
        <v>5556.91</v>
      </c>
      <c r="D11" s="129">
        <v>3947.17</v>
      </c>
      <c r="E11" s="129">
        <v>2140.16</v>
      </c>
      <c r="F11" s="129">
        <v>7439.92</v>
      </c>
      <c r="G11" s="129">
        <v>5544.83</v>
      </c>
      <c r="H11" s="129">
        <v>6761.38</v>
      </c>
      <c r="I11" s="129">
        <v>2569.6799999999998</v>
      </c>
      <c r="J11" s="129">
        <v>5046.24</v>
      </c>
      <c r="K11" s="129"/>
      <c r="L11" s="129"/>
      <c r="M11" s="129"/>
      <c r="N11" s="129"/>
      <c r="O11" s="298"/>
      <c r="P11" s="286" t="e">
        <f t="shared" si="0"/>
        <v>#DIV/0!</v>
      </c>
    </row>
    <row r="12" spans="1:17" ht="18" customHeight="1" x14ac:dyDescent="0.2">
      <c r="A12" s="25">
        <v>8</v>
      </c>
      <c r="B12" s="26" t="s">
        <v>5</v>
      </c>
      <c r="C12" s="129">
        <v>11759.95</v>
      </c>
      <c r="D12" s="129">
        <v>9381.89</v>
      </c>
      <c r="E12" s="129">
        <v>0</v>
      </c>
      <c r="F12" s="129">
        <v>14130.54</v>
      </c>
      <c r="G12" s="129">
        <v>13913.21</v>
      </c>
      <c r="H12" s="129">
        <v>525.54</v>
      </c>
      <c r="I12" s="129">
        <f>11027.6</f>
        <v>11027.6</v>
      </c>
      <c r="J12" s="129">
        <v>11460.69</v>
      </c>
      <c r="K12" s="129"/>
      <c r="L12" s="129"/>
      <c r="M12" s="129"/>
      <c r="N12" s="129"/>
      <c r="O12" s="298"/>
      <c r="P12" s="286" t="e">
        <f t="shared" si="0"/>
        <v>#DIV/0!</v>
      </c>
    </row>
    <row r="13" spans="1:17" ht="18" customHeight="1" x14ac:dyDescent="0.2">
      <c r="A13" s="25">
        <v>9</v>
      </c>
      <c r="B13" s="26" t="s">
        <v>6</v>
      </c>
      <c r="C13" s="129">
        <v>2193.94</v>
      </c>
      <c r="D13" s="129">
        <v>4143.53</v>
      </c>
      <c r="E13" s="129">
        <v>9165.94</v>
      </c>
      <c r="F13" s="129">
        <v>9166.2800000000007</v>
      </c>
      <c r="G13" s="129">
        <v>5657.54</v>
      </c>
      <c r="H13" s="129">
        <v>5686.67</v>
      </c>
      <c r="I13" s="129">
        <f>6468.52</f>
        <v>6468.52</v>
      </c>
      <c r="J13" s="129"/>
      <c r="K13" s="129"/>
      <c r="L13" s="129"/>
      <c r="M13" s="129"/>
      <c r="N13" s="129"/>
      <c r="O13" s="298"/>
      <c r="P13" s="286" t="e">
        <f t="shared" si="0"/>
        <v>#DIV/0!</v>
      </c>
    </row>
    <row r="14" spans="1:17" ht="18" customHeight="1" x14ac:dyDescent="0.2">
      <c r="A14" s="25">
        <v>10</v>
      </c>
      <c r="B14" s="26" t="s">
        <v>7</v>
      </c>
      <c r="C14" s="129">
        <v>0</v>
      </c>
      <c r="D14" s="129">
        <v>5775.11</v>
      </c>
      <c r="E14" s="129">
        <v>915.06</v>
      </c>
      <c r="F14" s="129">
        <v>6914.06</v>
      </c>
      <c r="G14" s="129">
        <v>5355.13</v>
      </c>
      <c r="H14" s="129">
        <v>6212.69</v>
      </c>
      <c r="I14" s="129">
        <f>2534.26</f>
        <v>2534.2600000000002</v>
      </c>
      <c r="J14" s="129">
        <v>1712.78</v>
      </c>
      <c r="K14" s="129"/>
      <c r="L14" s="129"/>
      <c r="M14" s="129"/>
      <c r="N14" s="129"/>
      <c r="O14" s="298"/>
      <c r="P14" s="286" t="e">
        <f t="shared" si="0"/>
        <v>#DIV/0!</v>
      </c>
    </row>
    <row r="15" spans="1:17" ht="18" customHeight="1" x14ac:dyDescent="0.2">
      <c r="A15" s="25">
        <v>11</v>
      </c>
      <c r="B15" s="26" t="s">
        <v>8</v>
      </c>
      <c r="C15" s="129">
        <v>8049.23</v>
      </c>
      <c r="D15" s="129">
        <v>2327.4299999999998</v>
      </c>
      <c r="E15" s="129">
        <f>5772.2</f>
        <v>5772.2</v>
      </c>
      <c r="F15" s="129">
        <v>0</v>
      </c>
      <c r="G15" s="129">
        <v>8848.0499999999993</v>
      </c>
      <c r="H15" s="129">
        <v>1918.99</v>
      </c>
      <c r="I15" s="129">
        <f>5158.13</f>
        <v>5158.13</v>
      </c>
      <c r="J15" s="129">
        <v>1585.17</v>
      </c>
      <c r="K15" s="129"/>
      <c r="L15" s="129"/>
      <c r="M15" s="129"/>
      <c r="N15" s="129"/>
      <c r="O15" s="298"/>
      <c r="P15" s="286" t="e">
        <f t="shared" si="0"/>
        <v>#DIV/0!</v>
      </c>
    </row>
    <row r="16" spans="1:17" ht="18" customHeight="1" x14ac:dyDescent="0.2">
      <c r="A16" s="25">
        <v>12</v>
      </c>
      <c r="B16" s="26" t="s">
        <v>9</v>
      </c>
      <c r="C16" s="129">
        <v>4732.3999999999996</v>
      </c>
      <c r="D16" s="129">
        <v>776.34</v>
      </c>
      <c r="E16" s="129">
        <v>4377.3100000000004</v>
      </c>
      <c r="F16" s="129">
        <v>2726.61</v>
      </c>
      <c r="G16" s="129">
        <v>8886.7999999999993</v>
      </c>
      <c r="H16" s="129">
        <v>4254.4399999999996</v>
      </c>
      <c r="I16" s="129">
        <v>4254.4399999999996</v>
      </c>
      <c r="J16" s="129">
        <f>1114+862.92+1524</f>
        <v>3500.92</v>
      </c>
      <c r="K16" s="129"/>
      <c r="L16" s="129"/>
      <c r="M16" s="129"/>
      <c r="N16" s="129"/>
      <c r="O16" s="298"/>
      <c r="P16" s="286" t="e">
        <f t="shared" si="0"/>
        <v>#DIV/0!</v>
      </c>
    </row>
    <row r="17" spans="1:16" ht="18" customHeight="1" x14ac:dyDescent="0.2">
      <c r="A17" s="25">
        <v>13</v>
      </c>
      <c r="B17" s="26" t="s">
        <v>10</v>
      </c>
      <c r="C17" s="129">
        <v>2965.1</v>
      </c>
      <c r="D17" s="129">
        <v>2509.9</v>
      </c>
      <c r="E17" s="129">
        <v>0</v>
      </c>
      <c r="F17" s="129">
        <v>7448.34</v>
      </c>
      <c r="G17" s="129">
        <v>5122.09</v>
      </c>
      <c r="H17" s="129">
        <v>7782.67</v>
      </c>
      <c r="I17" s="129">
        <v>7523.98</v>
      </c>
      <c r="J17" s="129">
        <v>2412.38</v>
      </c>
      <c r="K17" s="129"/>
      <c r="L17" s="129"/>
      <c r="M17" s="129"/>
      <c r="N17" s="129"/>
      <c r="O17" s="298"/>
      <c r="P17" s="286" t="e">
        <f t="shared" si="0"/>
        <v>#DIV/0!</v>
      </c>
    </row>
    <row r="18" spans="1:16" ht="18" customHeight="1" x14ac:dyDescent="0.2">
      <c r="A18" s="25">
        <v>14</v>
      </c>
      <c r="B18" s="26" t="s">
        <v>11</v>
      </c>
      <c r="C18" s="129">
        <v>7474.47</v>
      </c>
      <c r="D18" s="129">
        <v>5625.49</v>
      </c>
      <c r="E18" s="129">
        <v>7367.67</v>
      </c>
      <c r="F18" s="129">
        <v>3745.92</v>
      </c>
      <c r="G18" s="129">
        <v>9675.25</v>
      </c>
      <c r="H18" s="129">
        <v>4721.3100000000004</v>
      </c>
      <c r="I18" s="129">
        <v>5871.92</v>
      </c>
      <c r="J18" s="129">
        <f>5705.82</f>
        <v>5705.82</v>
      </c>
      <c r="K18" s="129"/>
      <c r="L18" s="129"/>
      <c r="M18" s="129"/>
      <c r="N18" s="129"/>
      <c r="O18" s="298"/>
      <c r="P18" s="286" t="e">
        <f t="shared" si="0"/>
        <v>#DIV/0!</v>
      </c>
    </row>
    <row r="19" spans="1:16" ht="18" customHeight="1" x14ac:dyDescent="0.2">
      <c r="A19" s="25">
        <v>15</v>
      </c>
      <c r="B19" s="26" t="s">
        <v>12</v>
      </c>
      <c r="C19" s="129">
        <v>6169.08</v>
      </c>
      <c r="D19" s="129">
        <v>6420.16</v>
      </c>
      <c r="E19" s="129">
        <v>12228.54</v>
      </c>
      <c r="F19" s="129">
        <v>8419.94</v>
      </c>
      <c r="G19" s="129">
        <v>11061.34</v>
      </c>
      <c r="H19" s="129">
        <v>14344.91</v>
      </c>
      <c r="I19" s="129">
        <v>11855.67</v>
      </c>
      <c r="J19" s="129"/>
      <c r="K19" s="129"/>
      <c r="L19" s="129"/>
      <c r="M19" s="129"/>
      <c r="N19" s="129"/>
      <c r="O19" s="298"/>
      <c r="P19" s="286" t="e">
        <f t="shared" si="0"/>
        <v>#DIV/0!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v>5822.78</v>
      </c>
      <c r="E20" s="129">
        <v>0</v>
      </c>
      <c r="F20" s="129">
        <v>3327.66</v>
      </c>
      <c r="G20" s="129">
        <v>4406.0200000000004</v>
      </c>
      <c r="H20" s="129">
        <v>3247.34</v>
      </c>
      <c r="I20" s="129">
        <v>0</v>
      </c>
      <c r="J20" s="129">
        <v>3170.28</v>
      </c>
      <c r="K20" s="129"/>
      <c r="L20" s="129"/>
      <c r="M20" s="129"/>
      <c r="N20" s="129"/>
      <c r="O20" s="298"/>
      <c r="P20" s="286" t="e">
        <f t="shared" si="0"/>
        <v>#DIV/0!</v>
      </c>
    </row>
    <row r="21" spans="1:16" ht="18" customHeight="1" x14ac:dyDescent="0.2">
      <c r="A21" s="25">
        <v>17</v>
      </c>
      <c r="B21" s="26" t="s">
        <v>14</v>
      </c>
      <c r="C21" s="129">
        <v>9009.0499999999993</v>
      </c>
      <c r="D21" s="129">
        <v>7419.04</v>
      </c>
      <c r="E21" s="129">
        <v>5707.61</v>
      </c>
      <c r="F21" s="129">
        <v>8812.17</v>
      </c>
      <c r="G21" s="129">
        <v>10224.17</v>
      </c>
      <c r="H21" s="129">
        <v>8975.75</v>
      </c>
      <c r="I21" s="129">
        <v>8870.26</v>
      </c>
      <c r="J21" s="129">
        <f>5118.37</f>
        <v>5118.37</v>
      </c>
      <c r="K21" s="129"/>
      <c r="L21" s="129"/>
      <c r="M21" s="129"/>
      <c r="N21" s="129"/>
      <c r="O21" s="298"/>
      <c r="P21" s="286" t="e">
        <f t="shared" si="0"/>
        <v>#DIV/0!</v>
      </c>
    </row>
    <row r="22" spans="1:16" ht="18" customHeight="1" x14ac:dyDescent="0.2">
      <c r="A22" s="25">
        <v>18</v>
      </c>
      <c r="B22" s="26" t="s">
        <v>15</v>
      </c>
      <c r="C22" s="129">
        <v>5752.6</v>
      </c>
      <c r="D22" s="129">
        <v>4014.93</v>
      </c>
      <c r="E22" s="129">
        <v>4483.97</v>
      </c>
      <c r="F22" s="129">
        <v>10559.29</v>
      </c>
      <c r="G22" s="129">
        <v>6272.14</v>
      </c>
      <c r="H22" s="129">
        <v>6110.73</v>
      </c>
      <c r="I22" s="129">
        <v>6828.72</v>
      </c>
      <c r="J22" s="129">
        <v>2593.02</v>
      </c>
      <c r="K22" s="129"/>
      <c r="L22" s="129"/>
      <c r="M22" s="129"/>
      <c r="N22" s="129"/>
      <c r="O22" s="298"/>
      <c r="P22" s="286" t="e">
        <f t="shared" si="0"/>
        <v>#DIV/0!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C22+C21+C20+C19+C18+C17+C16+C15+C14+C13+C12+C11+C10+C9+C8+C7+C6+C5</f>
        <v>108767.21000000002</v>
      </c>
      <c r="D23" s="154">
        <f>D22+D21+D20+D19+D18+D17+D16+D15+D14+D13+D12+D11+D10+D9+D8+D7+D6+D5</f>
        <v>110683.07</v>
      </c>
      <c r="E23" s="154">
        <f>E21+E21+E20+E19+E18+E17+E16+E15+E14+E13+E12+E11+E10+E9+E8+E7+E6+E5</f>
        <v>116091.84</v>
      </c>
      <c r="F23" s="358">
        <f>F21+F22+F20+F19+F18+F17+F16+F15+F14+F13+F12+F11+F10+F9+F8+F7+F6+F5</f>
        <v>129631.76000000001</v>
      </c>
      <c r="G23" s="154">
        <f>SUM(G5:G22)</f>
        <v>164090.25000000003</v>
      </c>
      <c r="H23" s="154">
        <f>SUM(H5:H22)</f>
        <v>98074.569999999992</v>
      </c>
      <c r="I23" s="154">
        <f>SUM(I5:I21)</f>
        <v>123897.59999999999</v>
      </c>
      <c r="J23" s="154">
        <f>SUM(J5:J22)</f>
        <v>83935.87000000001</v>
      </c>
      <c r="K23" s="154"/>
      <c r="L23" s="154"/>
      <c r="M23" s="154"/>
      <c r="N23" s="154"/>
      <c r="O23" s="154"/>
      <c r="P23" s="287" t="e">
        <f t="shared" si="0"/>
        <v>#DIV/0!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/>
      <c r="L24" s="130"/>
      <c r="M24" s="130"/>
      <c r="N24" s="130"/>
      <c r="O24" s="299"/>
      <c r="P24" s="332" t="e">
        <f t="shared" si="0"/>
        <v>#DIV/0!</v>
      </c>
    </row>
    <row r="25" spans="1:16" ht="18" customHeight="1" x14ac:dyDescent="0.2">
      <c r="A25" s="30">
        <v>21</v>
      </c>
      <c r="B25" s="26" t="s">
        <v>83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/>
      <c r="L25" s="130"/>
      <c r="M25" s="130"/>
      <c r="N25" s="130"/>
      <c r="O25" s="299"/>
      <c r="P25" s="332" t="e">
        <f t="shared" si="0"/>
        <v>#DIV/0!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/>
      <c r="L26" s="152"/>
      <c r="M26" s="152"/>
      <c r="N26" s="152"/>
      <c r="O26" s="300"/>
      <c r="P26" s="288" t="e">
        <f t="shared" si="0"/>
        <v>#DIV/0!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</f>
        <v>108767.21000000002</v>
      </c>
      <c r="D27" s="208">
        <f>D23</f>
        <v>110683.07</v>
      </c>
      <c r="E27" s="208">
        <f>E23</f>
        <v>116091.84</v>
      </c>
      <c r="F27" s="208">
        <f>F23</f>
        <v>129631.76000000001</v>
      </c>
      <c r="G27" s="208">
        <f>SUM(G23:G26)</f>
        <v>164090.25000000003</v>
      </c>
      <c r="H27" s="208">
        <f>H23</f>
        <v>98074.569999999992</v>
      </c>
      <c r="I27" s="208">
        <f>I23</f>
        <v>123897.59999999999</v>
      </c>
      <c r="J27" s="208"/>
      <c r="K27" s="208"/>
      <c r="L27" s="208"/>
      <c r="M27" s="208"/>
      <c r="N27" s="208"/>
      <c r="O27" s="208"/>
      <c r="P27" s="277" t="e">
        <f t="shared" si="0"/>
        <v>#DIV/0!</v>
      </c>
    </row>
    <row r="28" spans="1:16" ht="16.5" customHeight="1" x14ac:dyDescent="0.2">
      <c r="D28" s="125" t="s">
        <v>82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8" customWidth="1"/>
    <col min="16" max="16" width="12" style="315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2563</v>
      </c>
      <c r="L1" s="140"/>
      <c r="M1" s="140"/>
      <c r="N1" s="140"/>
      <c r="O1" s="140"/>
      <c r="P1" s="314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27/5/64</v>
      </c>
      <c r="O2" s="140"/>
      <c r="P2" s="314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6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15%'!C5+'4.ยาเรื้อรังฟรี'!C5</f>
        <v>79211.58</v>
      </c>
      <c r="D5" s="192">
        <f>'1.ยาทั่วไป'!D5+'2.ยาแพทย์ PCC'!D5+'3.ยาเรื้อรัง 15%'!D5+'4.ยาเรื้อรังฟรี'!D5</f>
        <v>69785.08</v>
      </c>
      <c r="E5" s="192">
        <f>'1.ยาทั่วไป'!E5+'2.ยาแพทย์ PCC'!E5+'3.ยาเรื้อรัง 15%'!E5+'4.ยาเรื้อรังฟรี'!E5</f>
        <v>83881.3</v>
      </c>
      <c r="F5" s="192">
        <f>'1.ยาทั่วไป'!F5+'2.ยาแพทย์ PCC'!F5+'3.ยาเรื้อรัง 15%'!F5+'4.ยาเรื้อรังฟรี'!F5</f>
        <v>84523.89</v>
      </c>
      <c r="G5" s="192">
        <f>'1.ยาทั่วไป'!G5+'2.ยาแพทย์ PCC'!G5+'3.ยาเรื้อรัง 15%'!G5+'4.ยาเรื้อรังฟรี'!G5</f>
        <v>79412.52</v>
      </c>
      <c r="H5" s="192">
        <f>'1.ยาทั่วไป'!H5+'2.ยาแพทย์ PCC'!H5+'3.ยาเรื้อรัง 15%'!H5+'4.ยาเรื้อรังฟรี'!H5</f>
        <v>58627.899999999994</v>
      </c>
      <c r="I5" s="192">
        <f>'1.ยาทั่วไป'!I5+'2.ยาแพทย์ PCC'!I5+'3.ยาเรื้อรัง 15%'!I5+'4.ยาเรื้อรังฟรี'!I5</f>
        <v>132520.5</v>
      </c>
      <c r="J5" s="192">
        <f>'1.ยาทั่วไป'!J5+'2.ยาแพทย์ PCC'!J5+'3.ยาเรื้อรัง 15%'!J5+'4.ยาเรื้อรังฟรี'!J5</f>
        <v>75411.83</v>
      </c>
      <c r="K5" s="192">
        <f>'1.ยาทั่วไป'!K5+'2.ยาแพทย์ PCC'!K5+'3.ยาเรื้อรัง 15%'!K5+'4.ยาเรื้อรังฟรี'!K5</f>
        <v>0</v>
      </c>
      <c r="L5" s="192">
        <f>'1.ยาทั่วไป'!L5+'2.ยาแพทย์ PCC'!L5+'3.ยาเรื้อรัง 15%'!L5+'4.ยาเรื้อรังฟรี'!L5</f>
        <v>0</v>
      </c>
      <c r="M5" s="192">
        <f>'1.ยาทั่วไป'!M5+'2.ยาแพทย์ PCC'!M5+'3.ยาเรื้อรัง 15%'!M5+'4.ยาเรื้อรังฟรี'!M5</f>
        <v>0</v>
      </c>
      <c r="N5" s="192">
        <f>'1.ยาทั่วไป'!N5+'2.ยาแพทย์ PCC'!N5+'3.ยาเรื้อรัง 15%'!N5+'4.ยาเรื้อรังฟรี'!N5</f>
        <v>0</v>
      </c>
      <c r="O5" s="309">
        <f>SUM(C5:N5)</f>
        <v>663374.6</v>
      </c>
      <c r="P5" s="312">
        <f t="shared" ref="P5:P27" si="0">O5/$O$23</f>
        <v>0.20387591873758984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15%'!C6+'4.ยาเรื้อรังฟรี'!C6</f>
        <v>46682.400000000001</v>
      </c>
      <c r="D6" s="192">
        <f>'1.ยาทั่วไป'!D6+'2.ยาแพทย์ PCC'!D6+'3.ยาเรื้อรัง 15%'!D6+'4.ยาเรื้อรังฟรี'!D6</f>
        <v>37721.65</v>
      </c>
      <c r="E6" s="192">
        <f>'1.ยาทั่วไป'!E6+'2.ยาแพทย์ PCC'!E6+'3.ยาเรื้อรัง 15%'!E6+'4.ยาเรื้อรังฟรี'!E6</f>
        <v>51572</v>
      </c>
      <c r="F6" s="192">
        <f>'1.ยาทั่วไป'!F6+'2.ยาแพทย์ PCC'!F6+'3.ยาเรื้อรัง 15%'!F6+'4.ยาเรื้อรังฟรี'!F6</f>
        <v>34116.44</v>
      </c>
      <c r="G6" s="192">
        <f>'1.ยาทั่วไป'!G6+'2.ยาแพทย์ PCC'!G6+'3.ยาเรื้อรัง 15%'!G6+'4.ยาเรื้อรังฟรี'!G6</f>
        <v>42542.17</v>
      </c>
      <c r="H6" s="192">
        <f>'1.ยาทั่วไป'!H6+'2.ยาแพทย์ PCC'!H6+'3.ยาเรื้อรัง 15%'!H6+'4.ยาเรื้อรังฟรี'!H6</f>
        <v>58032.25</v>
      </c>
      <c r="I6" s="192">
        <f>'1.ยาทั่วไป'!I6+'2.ยาแพทย์ PCC'!I6+'3.ยาเรื้อรัง 15%'!I6+'4.ยาเรื้อรังฟรี'!I6</f>
        <v>55258.649999999994</v>
      </c>
      <c r="J6" s="192">
        <f>'1.ยาทั่วไป'!J6+'2.ยาแพทย์ PCC'!J6+'3.ยาเรื้อรัง 15%'!J6+'4.ยาเรื้อรังฟรี'!J6</f>
        <v>46414.39</v>
      </c>
      <c r="K6" s="192">
        <f>'1.ยาทั่วไป'!K6+'2.ยาแพทย์ PCC'!K6+'3.ยาเรื้อรัง 15%'!K6+'4.ยาเรื้อรังฟรี'!K6</f>
        <v>0</v>
      </c>
      <c r="L6" s="192">
        <f>'1.ยาทั่วไป'!L6+'2.ยาแพทย์ PCC'!L6+'3.ยาเรื้อรัง 15%'!L6+'4.ยาเรื้อรังฟรี'!L6</f>
        <v>0</v>
      </c>
      <c r="M6" s="192">
        <f>'1.ยาทั่วไป'!M6+'2.ยาแพทย์ PCC'!M6+'3.ยาเรื้อรัง 15%'!M6+'4.ยาเรื้อรังฟรี'!M6</f>
        <v>0</v>
      </c>
      <c r="N6" s="192">
        <f>'1.ยาทั่วไป'!N6+'2.ยาแพทย์ PCC'!N6+'3.ยาเรื้อรัง 15%'!N6+'4.ยาเรื้อรังฟรี'!N6</f>
        <v>0</v>
      </c>
      <c r="O6" s="309">
        <f>SUM(C6:N6)</f>
        <v>372339.94999999995</v>
      </c>
      <c r="P6" s="312">
        <f t="shared" si="0"/>
        <v>0.11443179975380163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15%'!C7+'4.ยาเรื้อรังฟรี'!C7</f>
        <v>27500.440000000002</v>
      </c>
      <c r="D7" s="192">
        <f>'1.ยาทั่วไป'!D7+'2.ยาแพทย์ PCC'!D7+'3.ยาเรื้อรัง 15%'!D7+'4.ยาเรื้อรังฟรี'!D7</f>
        <v>20089.77</v>
      </c>
      <c r="E7" s="192">
        <f>'1.ยาทั่วไป'!E7+'2.ยาแพทย์ PCC'!E7+'3.ยาเรื้อรัง 15%'!E7+'4.ยาเรื้อรังฟรี'!E7</f>
        <v>12002.65</v>
      </c>
      <c r="F7" s="192">
        <f>'1.ยาทั่วไป'!F7+'2.ยาแพทย์ PCC'!F7+'3.ยาเรื้อรัง 15%'!F7+'4.ยาเรื้อรังฟรี'!F7</f>
        <v>17389.5</v>
      </c>
      <c r="G7" s="192">
        <f>'1.ยาทั่วไป'!G7+'2.ยาแพทย์ PCC'!G7+'3.ยาเรื้อรัง 15%'!G7+'4.ยาเรื้อรังฟรี'!G7</f>
        <v>16766.5</v>
      </c>
      <c r="H7" s="192">
        <f>'1.ยาทั่วไป'!H7+'2.ยาแพทย์ PCC'!H7+'3.ยาเรื้อรัง 15%'!H7+'4.ยาเรื้อรังฟรี'!H7</f>
        <v>14015.24</v>
      </c>
      <c r="I7" s="192">
        <f>'1.ยาทั่วไป'!I7+'2.ยาแพทย์ PCC'!I7+'3.ยาเรื้อรัง 15%'!I7+'4.ยาเรื้อรังฟรี'!I7</f>
        <v>17874.5</v>
      </c>
      <c r="J7" s="192">
        <f>'1.ยาทั่วไป'!J7+'2.ยาแพทย์ PCC'!J7+'3.ยาเรื้อรัง 15%'!J7+'4.ยาเรื้อรังฟรี'!J7</f>
        <v>25201.760000000002</v>
      </c>
      <c r="K7" s="192">
        <f>'1.ยาทั่วไป'!K7+'2.ยาแพทย์ PCC'!K7+'3.ยาเรื้อรัง 15%'!K7+'4.ยาเรื้อรังฟรี'!K7</f>
        <v>0</v>
      </c>
      <c r="L7" s="192">
        <f>'1.ยาทั่วไป'!L7+'2.ยาแพทย์ PCC'!L7+'3.ยาเรื้อรัง 15%'!L7+'4.ยาเรื้อรังฟรี'!L7</f>
        <v>0</v>
      </c>
      <c r="M7" s="192">
        <f>'1.ยาทั่วไป'!M7+'2.ยาแพทย์ PCC'!M7+'3.ยาเรื้อรัง 15%'!M7+'4.ยาเรื้อรังฟรี'!M7</f>
        <v>0</v>
      </c>
      <c r="N7" s="192">
        <f>'1.ยาทั่วไป'!N7+'2.ยาแพทย์ PCC'!N7+'3.ยาเรื้อรัง 15%'!N7+'4.ยาเรื้อรังฟรี'!N7</f>
        <v>0</v>
      </c>
      <c r="O7" s="309">
        <f t="shared" ref="O7:O22" si="1">SUM(C7:N7)</f>
        <v>150840.36000000002</v>
      </c>
      <c r="P7" s="312">
        <f t="shared" si="0"/>
        <v>4.6357995886048095E-2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15%'!C8+'4.ยาเรื้อรังฟรี'!C8</f>
        <v>2700</v>
      </c>
      <c r="D8" s="192">
        <f>'1.ยาทั่วไป'!D8+'2.ยาแพทย์ PCC'!D8+'3.ยาเรื้อรัง 15%'!D8+'4.ยาเรื้อรังฟรี'!D8</f>
        <v>56356.95</v>
      </c>
      <c r="E8" s="192">
        <f>'1.ยาทั่วไป'!E8+'2.ยาแพทย์ PCC'!E8+'3.ยาเรื้อรัง 15%'!E8+'4.ยาเรื้อรังฟรี'!E8</f>
        <v>64565.8</v>
      </c>
      <c r="F8" s="192">
        <f>'1.ยาทั่วไป'!F8+'2.ยาแพทย์ PCC'!F8+'3.ยาเรื้อรัง 15%'!F8+'4.ยาเรื้อรังฟรี'!F8</f>
        <v>6444</v>
      </c>
      <c r="G8" s="192">
        <f>'1.ยาทั่วไป'!G8+'2.ยาแพทย์ PCC'!G8+'3.ยาเรื้อรัง 15%'!G8+'4.ยาเรื้อรังฟรี'!G8</f>
        <v>85350.98</v>
      </c>
      <c r="H8" s="192">
        <f>'1.ยาทั่วไป'!H8+'2.ยาแพทย์ PCC'!H8+'3.ยาเรื้อรัง 15%'!H8+'4.ยาเรื้อรังฟรี'!H8</f>
        <v>35993.199999999997</v>
      </c>
      <c r="I8" s="192">
        <f>'1.ยาทั่วไป'!I8+'2.ยาแพทย์ PCC'!I8+'3.ยาเรื้อรัง 15%'!I8+'4.ยาเรื้อรังฟรี'!I8</f>
        <v>24886.1</v>
      </c>
      <c r="J8" s="192">
        <f>'1.ยาทั่วไป'!J8+'2.ยาแพทย์ PCC'!J8+'3.ยาเรื้อรัง 15%'!J8+'4.ยาเรื้อรังฟรี'!J8</f>
        <v>6982</v>
      </c>
      <c r="K8" s="192">
        <f>'1.ยาทั่วไป'!K8+'2.ยาแพทย์ PCC'!K8+'3.ยาเรื้อรัง 15%'!K8+'4.ยาเรื้อรังฟรี'!K8</f>
        <v>0</v>
      </c>
      <c r="L8" s="192">
        <f>'1.ยาทั่วไป'!L8+'2.ยาแพทย์ PCC'!L8+'3.ยาเรื้อรัง 15%'!L8+'4.ยาเรื้อรังฟรี'!L8</f>
        <v>0</v>
      </c>
      <c r="M8" s="192">
        <f>'1.ยาทั่วไป'!M8+'2.ยาแพทย์ PCC'!M8+'3.ยาเรื้อรัง 15%'!M8+'4.ยาเรื้อรังฟรี'!M8</f>
        <v>0</v>
      </c>
      <c r="N8" s="192">
        <f>'1.ยาทั่วไป'!N8+'2.ยาแพทย์ PCC'!N8+'3.ยาเรื้อรัง 15%'!N8+'4.ยาเรื้อรังฟรี'!N8</f>
        <v>0</v>
      </c>
      <c r="O8" s="309">
        <f t="shared" si="1"/>
        <v>283279.02999999997</v>
      </c>
      <c r="P8" s="312">
        <f t="shared" si="0"/>
        <v>8.7060572563892658E-2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15%'!C9+'4.ยาเรื้อรังฟรี'!C9</f>
        <v>9201.119999999999</v>
      </c>
      <c r="D9" s="192">
        <f>'1.ยาทั่วไป'!D9+'2.ยาแพทย์ PCC'!D9+'3.ยาเรื้อรัง 15%'!D9+'4.ยาเรื้อรังฟรี'!D9</f>
        <v>26251.809999999998</v>
      </c>
      <c r="E9" s="192">
        <f>'1.ยาทั่วไป'!E9+'2.ยาแพทย์ PCC'!E9+'3.ยาเรื้อรัง 15%'!E9+'4.ยาเรื้อรังฟรี'!E9</f>
        <v>23945.68</v>
      </c>
      <c r="F9" s="192">
        <f>'1.ยาทั่วไป'!F9+'2.ยาแพทย์ PCC'!F9+'3.ยาเรื้อรัง 15%'!F9+'4.ยาเรื้อรังฟรี'!F9</f>
        <v>19703.5</v>
      </c>
      <c r="G9" s="192">
        <f>'1.ยาทั่วไป'!G9+'2.ยาแพทย์ PCC'!G9+'3.ยาเรื้อรัง 15%'!G9+'4.ยาเรื้อรังฟรี'!G9</f>
        <v>7169.66</v>
      </c>
      <c r="H9" s="192">
        <f>'1.ยาทั่วไป'!H9+'2.ยาแพทย์ PCC'!H9+'3.ยาเรื้อรัง 15%'!H9+'4.ยาเรื้อรังฟรี'!H9</f>
        <v>8465</v>
      </c>
      <c r="I9" s="192">
        <f>'1.ยาทั่วไป'!I9+'2.ยาแพทย์ PCC'!I9+'3.ยาเรื้อรัง 15%'!I9+'4.ยาเรื้อรังฟรี'!I9</f>
        <v>19061</v>
      </c>
      <c r="J9" s="192">
        <f>'1.ยาทั่วไป'!J9+'2.ยาแพทย์ PCC'!J9+'3.ยาเรื้อรัง 15%'!J9+'4.ยาเรื้อรังฟรี'!J9</f>
        <v>17882.560000000001</v>
      </c>
      <c r="K9" s="192">
        <f>'1.ยาทั่วไป'!K9+'2.ยาแพทย์ PCC'!K9+'3.ยาเรื้อรัง 15%'!K9+'4.ยาเรื้อรังฟรี'!K9</f>
        <v>0</v>
      </c>
      <c r="L9" s="192">
        <f>'1.ยาทั่วไป'!L9+'2.ยาแพทย์ PCC'!L9+'3.ยาเรื้อรัง 15%'!L9+'4.ยาเรื้อรังฟรี'!L9</f>
        <v>0</v>
      </c>
      <c r="M9" s="192">
        <f>'1.ยาทั่วไป'!M9+'2.ยาแพทย์ PCC'!M9+'3.ยาเรื้อรัง 15%'!M9+'4.ยาเรื้อรังฟรี'!M9</f>
        <v>0</v>
      </c>
      <c r="N9" s="192">
        <f>'1.ยาทั่วไป'!N9+'2.ยาแพทย์ PCC'!N9+'3.ยาเรื้อรัง 15%'!N9+'4.ยาเรื้อรังฟรี'!N9</f>
        <v>0</v>
      </c>
      <c r="O9" s="309">
        <f t="shared" si="1"/>
        <v>131680.32999999999</v>
      </c>
      <c r="P9" s="312">
        <f t="shared" si="0"/>
        <v>4.0469514899152022E-2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15%'!C10+'4.ยาเรื้อรังฟรี'!C10</f>
        <v>11786.29</v>
      </c>
      <c r="D10" s="192">
        <f>'1.ยาทั่วไป'!D10+'2.ยาแพทย์ PCC'!D10+'3.ยาเรื้อรัง 15%'!D10+'4.ยาเรื้อรังฟรี'!D10</f>
        <v>25912.05</v>
      </c>
      <c r="E10" s="192">
        <f>'1.ยาทั่วไป'!E10+'2.ยาแพทย์ PCC'!E10+'3.ยาเรื้อรัง 15%'!E10+'4.ยาเรื้อรังฟรี'!E10</f>
        <v>9521</v>
      </c>
      <c r="F10" s="192">
        <f>'1.ยาทั่วไป'!F10+'2.ยาแพทย์ PCC'!F10+'3.ยาเรื้อรัง 15%'!F10+'4.ยาเรื้อรังฟรี'!F10</f>
        <v>9385.67</v>
      </c>
      <c r="G10" s="192">
        <f>'1.ยาทั่วไป'!G10+'2.ยาแพทย์ PCC'!G10+'3.ยาเรื้อรัง 15%'!G10+'4.ยาเรื้อรังฟรี'!G10</f>
        <v>7731.6</v>
      </c>
      <c r="H10" s="192">
        <f>'1.ยาทั่วไป'!H10+'2.ยาแพทย์ PCC'!H10+'3.ยาเรื้อรัง 15%'!H10+'4.ยาเรื้อรังฟรี'!H10</f>
        <v>10625.6</v>
      </c>
      <c r="I10" s="192">
        <f>'1.ยาทั่วไป'!I10+'2.ยาแพทย์ PCC'!I10+'3.ยาเรื้อรัง 15%'!I10+'4.ยาเรื้อรังฟรี'!I10</f>
        <v>26174.43</v>
      </c>
      <c r="J10" s="192">
        <f>'1.ยาทั่วไป'!J10+'2.ยาแพทย์ PCC'!J10+'3.ยาเรื้อรัง 15%'!J10+'4.ยาเรื้อรังฟรี'!J10</f>
        <v>21301.16</v>
      </c>
      <c r="K10" s="192">
        <f>'1.ยาทั่วไป'!K10+'2.ยาแพทย์ PCC'!K10+'3.ยาเรื้อรัง 15%'!K10+'4.ยาเรื้อรังฟรี'!K10</f>
        <v>0</v>
      </c>
      <c r="L10" s="192">
        <f>'1.ยาทั่วไป'!L10+'2.ยาแพทย์ PCC'!L10+'3.ยาเรื้อรัง 15%'!L10+'4.ยาเรื้อรังฟรี'!L10</f>
        <v>0</v>
      </c>
      <c r="M10" s="192">
        <f>'1.ยาทั่วไป'!M10+'2.ยาแพทย์ PCC'!M10+'3.ยาเรื้อรัง 15%'!M10+'4.ยาเรื้อรังฟรี'!M10</f>
        <v>0</v>
      </c>
      <c r="N10" s="192">
        <f>'1.ยาทั่วไป'!N10+'2.ยาแพทย์ PCC'!N10+'3.ยาเรื้อรัง 15%'!N10+'4.ยาเรื้อรังฟรี'!N10</f>
        <v>0</v>
      </c>
      <c r="O10" s="309">
        <f t="shared" si="1"/>
        <v>122437.79999999999</v>
      </c>
      <c r="P10" s="312">
        <f t="shared" si="0"/>
        <v>3.7628994180979008E-2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15%'!C11+'4.ยาเรื้อรังฟรี'!C11</f>
        <v>3899</v>
      </c>
      <c r="D11" s="192">
        <f>'1.ยาทั่วไป'!D11+'2.ยาแพทย์ PCC'!D11+'3.ยาเรื้อรัง 15%'!D11+'4.ยาเรื้อรังฟรี'!D11</f>
        <v>15740.26</v>
      </c>
      <c r="E11" s="192">
        <f>'1.ยาทั่วไป'!E11+'2.ยาแพทย์ PCC'!E11+'3.ยาเรื้อรัง 15%'!E11+'4.ยาเรื้อรังฟรี'!E11</f>
        <v>13246.630000000001</v>
      </c>
      <c r="F11" s="192">
        <f>'1.ยาทั่วไป'!F11+'2.ยาแพทย์ PCC'!F11+'3.ยาเรื้อรัง 15%'!F11+'4.ยาเรื้อรังฟรี'!F11</f>
        <v>9254.880000000001</v>
      </c>
      <c r="G11" s="192">
        <f>'1.ยาทั่วไป'!G11+'2.ยาแพทย์ PCC'!G11+'3.ยาเรื้อรัง 15%'!G11+'4.ยาเรื้อรังฟรี'!G11</f>
        <v>15465.47</v>
      </c>
      <c r="H11" s="192">
        <f>'1.ยาทั่วไป'!H11+'2.ยาแพทย์ PCC'!H11+'3.ยาเรื้อรัง 15%'!H11+'4.ยาเรื้อรังฟรี'!H11</f>
        <v>10298.25</v>
      </c>
      <c r="I11" s="192">
        <f>'1.ยาทั่วไป'!I11+'2.ยาแพทย์ PCC'!I11+'3.ยาเรื้อรัง 15%'!I11+'4.ยาเรื้อรังฟรี'!I11</f>
        <v>12172.5</v>
      </c>
      <c r="J11" s="192">
        <f>'1.ยาทั่วไป'!J11+'2.ยาแพทย์ PCC'!J11+'3.ยาเรื้อรัง 15%'!J11+'4.ยาเรื้อรังฟรี'!J11</f>
        <v>21459.1</v>
      </c>
      <c r="K11" s="192">
        <f>'1.ยาทั่วไป'!K11+'2.ยาแพทย์ PCC'!K11+'3.ยาเรื้อรัง 15%'!K11+'4.ยาเรื้อรังฟรี'!K11</f>
        <v>0</v>
      </c>
      <c r="L11" s="192">
        <f>'1.ยาทั่วไป'!L11+'2.ยาแพทย์ PCC'!L11+'3.ยาเรื้อรัง 15%'!L11+'4.ยาเรื้อรังฟรี'!L11</f>
        <v>0</v>
      </c>
      <c r="M11" s="192">
        <f>'1.ยาทั่วไป'!M11+'2.ยาแพทย์ PCC'!M11+'3.ยาเรื้อรัง 15%'!M11+'4.ยาเรื้อรังฟรี'!M11</f>
        <v>0</v>
      </c>
      <c r="N11" s="192">
        <f>'1.ยาทั่วไป'!N11+'2.ยาแพทย์ PCC'!N11+'3.ยาเรื้อรัง 15%'!N11+'4.ยาเรื้อรังฟรี'!N11</f>
        <v>0</v>
      </c>
      <c r="O11" s="309">
        <f t="shared" si="1"/>
        <v>101536.09</v>
      </c>
      <c r="P11" s="312">
        <f t="shared" si="0"/>
        <v>3.1205240046532697E-2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15%'!C12+'4.ยาเรื้อรังฟรี'!C12</f>
        <v>32993</v>
      </c>
      <c r="D12" s="192">
        <f>'1.ยาทั่วไป'!D12+'2.ยาแพทย์ PCC'!D12+'3.ยาเรื้อรัง 15%'!D12+'4.ยาเรื้อรังฟรี'!D12</f>
        <v>34748.729999999996</v>
      </c>
      <c r="E12" s="192">
        <f>'1.ยาทั่วไป'!E12+'2.ยาแพทย์ PCC'!E12+'3.ยาเรื้อรัง 15%'!E12+'4.ยาเรื้อรังฟรี'!E12</f>
        <v>31878.97</v>
      </c>
      <c r="F12" s="192">
        <f>'1.ยาทั่วไป'!F12+'2.ยาแพทย์ PCC'!F12+'3.ยาเรื้อรัง 15%'!F12+'4.ยาเรื้อรังฟรี'!F12</f>
        <v>25768.22</v>
      </c>
      <c r="G12" s="192">
        <f>'1.ยาทั่วไป'!G12+'2.ยาแพทย์ PCC'!G12+'3.ยาเรื้อรัง 15%'!G12+'4.ยาเรื้อรังฟรี'!G12</f>
        <v>52608.93</v>
      </c>
      <c r="H12" s="192">
        <f>'1.ยาทั่วไป'!H12+'2.ยาแพทย์ PCC'!H12+'3.ยาเรื้อรัง 15%'!H12+'4.ยาเรื้อรังฟรี'!H12</f>
        <v>42611.74</v>
      </c>
      <c r="I12" s="192">
        <f>'1.ยาทั่วไป'!I12+'2.ยาแพทย์ PCC'!I12+'3.ยาเรื้อรัง 15%'!I12+'4.ยาเรื้อรังฟรี'!I12</f>
        <v>29627.5</v>
      </c>
      <c r="J12" s="192">
        <f>'1.ยาทั่วไป'!J12+'2.ยาแพทย์ PCC'!J12+'3.ยาเรื้อรัง 15%'!J12+'4.ยาเรื้อรังฟรี'!J12</f>
        <v>23699.97</v>
      </c>
      <c r="K12" s="192">
        <f>'1.ยาทั่วไป'!K12+'2.ยาแพทย์ PCC'!K12+'3.ยาเรื้อรัง 15%'!K12+'4.ยาเรื้อรังฟรี'!K12</f>
        <v>0</v>
      </c>
      <c r="L12" s="192">
        <f>'1.ยาทั่วไป'!L12+'2.ยาแพทย์ PCC'!L12+'3.ยาเรื้อรัง 15%'!L12+'4.ยาเรื้อรังฟรี'!L12</f>
        <v>0</v>
      </c>
      <c r="M12" s="192">
        <f>'1.ยาทั่วไป'!M12+'2.ยาแพทย์ PCC'!M12+'3.ยาเรื้อรัง 15%'!M12+'4.ยาเรื้อรังฟรี'!M12</f>
        <v>0</v>
      </c>
      <c r="N12" s="192">
        <f>'1.ยาทั่วไป'!N12+'2.ยาแพทย์ PCC'!N12+'3.ยาเรื้อรัง 15%'!N12+'4.ยาเรื้อรังฟรี'!N12</f>
        <v>0</v>
      </c>
      <c r="O12" s="309">
        <f t="shared" si="1"/>
        <v>273937.06</v>
      </c>
      <c r="P12" s="312">
        <f t="shared" si="0"/>
        <v>8.4189490800181788E-2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15%'!C13+'4.ยาเรื้อรังฟรี'!C13</f>
        <v>496</v>
      </c>
      <c r="D13" s="192">
        <f>'1.ยาทั่วไป'!D13+'2.ยาแพทย์ PCC'!D13+'3.ยาเรื้อรัง 15%'!D13+'4.ยาเรื้อรังฟรี'!D13</f>
        <v>26843.43</v>
      </c>
      <c r="E13" s="192">
        <f>'1.ยาทั่วไป'!E13+'2.ยาแพทย์ PCC'!E13+'3.ยาเรื้อรัง 15%'!E13+'4.ยาเรื้อรังฟรี'!E13</f>
        <v>8617.66</v>
      </c>
      <c r="F13" s="192">
        <f>'1.ยาทั่วไป'!F13+'2.ยาแพทย์ PCC'!F13+'3.ยาเรื้อรัง 15%'!F13+'4.ยาเรื้อรังฟรี'!F13</f>
        <v>2850</v>
      </c>
      <c r="G13" s="192">
        <f>'1.ยาทั่วไป'!G13+'2.ยาแพทย์ PCC'!G13+'3.ยาเรื้อรัง 15%'!G13+'4.ยาเรื้อรังฟรี'!G13</f>
        <v>14784.96</v>
      </c>
      <c r="H13" s="192">
        <f>'1.ยาทั่วไป'!H13+'2.ยาแพทย์ PCC'!H13+'3.ยาเรื้อรัง 15%'!H13+'4.ยาเรื้อรังฟรี'!H13</f>
        <v>15043.24</v>
      </c>
      <c r="I13" s="192">
        <f>'1.ยาทั่วไป'!I13+'2.ยาแพทย์ PCC'!I13+'3.ยาเรื้อรัง 15%'!I13+'4.ยาเรื้อรังฟรี'!I13</f>
        <v>15752.54</v>
      </c>
      <c r="J13" s="192">
        <f>'1.ยาทั่วไป'!J13+'2.ยาแพทย์ PCC'!J13+'3.ยาเรื้อรัง 15%'!J13+'4.ยาเรื้อรังฟรี'!J13</f>
        <v>13456.75</v>
      </c>
      <c r="K13" s="192">
        <f>'1.ยาทั่วไป'!K13+'2.ยาแพทย์ PCC'!K13+'3.ยาเรื้อรัง 15%'!K13+'4.ยาเรื้อรังฟรี'!K13</f>
        <v>0</v>
      </c>
      <c r="L13" s="192">
        <f>'1.ยาทั่วไป'!L13+'2.ยาแพทย์ PCC'!L13+'3.ยาเรื้อรัง 15%'!L13+'4.ยาเรื้อรังฟรี'!L13</f>
        <v>0</v>
      </c>
      <c r="M13" s="192">
        <f>'1.ยาทั่วไป'!M13+'2.ยาแพทย์ PCC'!M13+'3.ยาเรื้อรัง 15%'!M13+'4.ยาเรื้อรังฟรี'!M13</f>
        <v>0</v>
      </c>
      <c r="N13" s="192">
        <f>'1.ยาทั่วไป'!N13+'2.ยาแพทย์ PCC'!N13+'3.ยาเรื้อรัง 15%'!N13+'4.ยาเรื้อรังฟรี'!N13</f>
        <v>0</v>
      </c>
      <c r="O13" s="309">
        <f t="shared" si="1"/>
        <v>97844.579999999987</v>
      </c>
      <c r="P13" s="312">
        <f t="shared" si="0"/>
        <v>3.0070722697241658E-2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15%'!C14+'4.ยาเรื้อรังฟรี'!C14</f>
        <v>0</v>
      </c>
      <c r="D14" s="192">
        <f>'1.ยาทั่วไป'!D14+'2.ยาแพทย์ PCC'!D14+'3.ยาเรื้อรัง 15%'!D14+'4.ยาเรื้อรังฟรี'!D14</f>
        <v>27858.489999999998</v>
      </c>
      <c r="E14" s="192">
        <f>'1.ยาทั่วไป'!E14+'2.ยาแพทย์ PCC'!E14+'3.ยาเรื้อรัง 15%'!E14+'4.ยาเรื้อรังฟรี'!E14</f>
        <v>13737.43</v>
      </c>
      <c r="F14" s="192">
        <f>'1.ยาทั่วไป'!F14+'2.ยาแพทย์ PCC'!F14+'3.ยาเรื้อรัง 15%'!F14+'4.ยาเรื้อรังฟรี'!F14</f>
        <v>7410.25</v>
      </c>
      <c r="G14" s="192">
        <f>'1.ยาทั่วไป'!G14+'2.ยาแพทย์ PCC'!G14+'3.ยาเรื้อรัง 15%'!G14+'4.ยาเรื้อรังฟรี'!G14</f>
        <v>10043.65</v>
      </c>
      <c r="H14" s="192">
        <f>'1.ยาทั่วไป'!H14+'2.ยาแพทย์ PCC'!H14+'3.ยาเรื้อรัง 15%'!H14+'4.ยาเรื้อรังฟรี'!H14</f>
        <v>4358.6399999999994</v>
      </c>
      <c r="I14" s="192">
        <f>'1.ยาทั่วไป'!I14+'2.ยาแพทย์ PCC'!I14+'3.ยาเรื้อรัง 15%'!I14+'4.ยาเรื้อรังฟรี'!I14</f>
        <v>20627.05</v>
      </c>
      <c r="J14" s="192">
        <f>'1.ยาทั่วไป'!J14+'2.ยาแพทย์ PCC'!J14+'3.ยาเรื้อรัง 15%'!J14+'4.ยาเรื้อรังฟรี'!J14</f>
        <v>7129.4400000000005</v>
      </c>
      <c r="K14" s="192">
        <f>'1.ยาทั่วไป'!K14+'2.ยาแพทย์ PCC'!K14+'3.ยาเรื้อรัง 15%'!K14+'4.ยาเรื้อรังฟรี'!K14</f>
        <v>0</v>
      </c>
      <c r="L14" s="192">
        <f>'1.ยาทั่วไป'!L14+'2.ยาแพทย์ PCC'!L14+'3.ยาเรื้อรัง 15%'!L14+'4.ยาเรื้อรังฟรี'!L14</f>
        <v>0</v>
      </c>
      <c r="M14" s="192">
        <f>'1.ยาทั่วไป'!M14+'2.ยาแพทย์ PCC'!M14+'3.ยาเรื้อรัง 15%'!M14+'4.ยาเรื้อรังฟรี'!M14</f>
        <v>0</v>
      </c>
      <c r="N14" s="192">
        <f>'1.ยาทั่วไป'!N14+'2.ยาแพทย์ PCC'!N14+'3.ยาเรื้อรัง 15%'!N14+'4.ยาเรื้อรังฟรี'!N14</f>
        <v>0</v>
      </c>
      <c r="O14" s="309">
        <f t="shared" si="1"/>
        <v>91164.95</v>
      </c>
      <c r="P14" s="312">
        <f t="shared" si="0"/>
        <v>2.8017861910776265E-2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15%'!C15+'4.ยาเรื้อรังฟรี'!C15</f>
        <v>18008.09</v>
      </c>
      <c r="D15" s="192">
        <f>'1.ยาทั่วไป'!D15+'2.ยาแพทย์ PCC'!D15+'3.ยาเรื้อรัง 15%'!D15+'4.ยาเรื้อรังฟรี'!D15</f>
        <v>9449.98</v>
      </c>
      <c r="E15" s="192">
        <f>'1.ยาทั่วไป'!E15+'2.ยาแพทย์ PCC'!E15+'3.ยาเรื้อรัง 15%'!E15+'4.ยาเรื้อรังฟรี'!E15</f>
        <v>35705.15</v>
      </c>
      <c r="F15" s="192">
        <f>'1.ยาทั่วไป'!F15+'2.ยาแพทย์ PCC'!F15+'3.ยาเรื้อรัง 15%'!F15+'4.ยาเรื้อรังฟรี'!F15</f>
        <v>9825.92</v>
      </c>
      <c r="G15" s="192">
        <f>'1.ยาทั่วไป'!G15+'2.ยาแพทย์ PCC'!G15+'3.ยาเรื้อรัง 15%'!G15+'4.ยาเรื้อรังฟรี'!G15</f>
        <v>14982.919999999998</v>
      </c>
      <c r="H15" s="192">
        <f>'1.ยาทั่วไป'!H15+'2.ยาแพทย์ PCC'!H15+'3.ยาเรื้อรัง 15%'!H15+'4.ยาเรื้อรังฟรี'!H15</f>
        <v>12677</v>
      </c>
      <c r="I15" s="192">
        <f>'1.ยาทั่วไป'!I15+'2.ยาแพทย์ PCC'!I15+'3.ยาเรื้อรัง 15%'!I15+'4.ยาเรื้อรังฟรี'!I15</f>
        <v>31216.2</v>
      </c>
      <c r="J15" s="192">
        <f>'1.ยาทั่วไป'!J15+'2.ยาแพทย์ PCC'!J15+'3.ยาเรื้อรัง 15%'!J15+'4.ยาเรื้อรังฟรี'!J15</f>
        <v>11110</v>
      </c>
      <c r="K15" s="192">
        <f>'1.ยาทั่วไป'!K15+'2.ยาแพทย์ PCC'!K15+'3.ยาเรื้อรัง 15%'!K15+'4.ยาเรื้อรังฟรี'!K15</f>
        <v>0</v>
      </c>
      <c r="L15" s="192">
        <f>'1.ยาทั่วไป'!L15+'2.ยาแพทย์ PCC'!L15+'3.ยาเรื้อรัง 15%'!L15+'4.ยาเรื้อรังฟรี'!L15</f>
        <v>0</v>
      </c>
      <c r="M15" s="192">
        <f>'1.ยาทั่วไป'!M15+'2.ยาแพทย์ PCC'!M15+'3.ยาเรื้อรัง 15%'!M15+'4.ยาเรื้อรังฟรี'!M15</f>
        <v>0</v>
      </c>
      <c r="N15" s="192">
        <f>'1.ยาทั่วไป'!N15+'2.ยาแพทย์ PCC'!N15+'3.ยาเรื้อรัง 15%'!N15+'4.ยาเรื้อรังฟรี'!N15</f>
        <v>0</v>
      </c>
      <c r="O15" s="309">
        <f t="shared" si="1"/>
        <v>142975.26</v>
      </c>
      <c r="P15" s="312">
        <f t="shared" si="0"/>
        <v>4.3940802812235773E-2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15%'!C16+'4.ยาเรื้อรังฟรี'!C16</f>
        <v>11294.54</v>
      </c>
      <c r="D16" s="192">
        <f>'1.ยาทั่วไป'!D16+'2.ยาแพทย์ PCC'!D16+'3.ยาเรื้อรัง 15%'!D16+'4.ยาเรื้อรังฟรี'!D16</f>
        <v>9350.89</v>
      </c>
      <c r="E16" s="192">
        <f>'1.ยาทั่วไป'!E16+'2.ยาแพทย์ PCC'!E16+'3.ยาเรื้อรัง 15%'!E16+'4.ยาเรื้อรังฟรี'!E16</f>
        <v>7911</v>
      </c>
      <c r="F16" s="192">
        <f>'1.ยาทั่วไป'!F16+'2.ยาแพทย์ PCC'!F16+'3.ยาเรื้อรัง 15%'!F16+'4.ยาเรื้อรังฟรี'!F16</f>
        <v>9539</v>
      </c>
      <c r="G16" s="192">
        <f>'1.ยาทั่วไป'!G16+'2.ยาแพทย์ PCC'!G16+'3.ยาเรื้อรัง 15%'!G16+'4.ยาเรื้อรังฟรี'!G16</f>
        <v>11155.24</v>
      </c>
      <c r="H16" s="192">
        <f>'1.ยาทั่วไป'!H16+'2.ยาแพทย์ PCC'!H16+'3.ยาเรื้อรัง 15%'!H16+'4.ยาเรื้อรังฟรี'!H16</f>
        <v>9695.619999999999</v>
      </c>
      <c r="I16" s="192">
        <f>'1.ยาทั่วไป'!I16+'2.ยาแพทย์ PCC'!I16+'3.ยาเรื้อรัง 15%'!I16+'4.ยาเรื้อรังฟรี'!I16</f>
        <v>16249.15</v>
      </c>
      <c r="J16" s="192">
        <f>'1.ยาทั่วไป'!J16+'2.ยาแพทย์ PCC'!J16+'3.ยาเรื้อรัง 15%'!J16+'4.ยาเรื้อรังฟรี'!J16</f>
        <v>8295.48</v>
      </c>
      <c r="K16" s="192">
        <f>'1.ยาทั่วไป'!K16+'2.ยาแพทย์ PCC'!K16+'3.ยาเรื้อรัง 15%'!K16+'4.ยาเรื้อรังฟรี'!K16</f>
        <v>0</v>
      </c>
      <c r="L16" s="192">
        <f>'1.ยาทั่วไป'!L16+'2.ยาแพทย์ PCC'!L16+'3.ยาเรื้อรัง 15%'!L16+'4.ยาเรื้อรังฟรี'!L16</f>
        <v>0</v>
      </c>
      <c r="M16" s="192">
        <f>'1.ยาทั่วไป'!M16+'2.ยาแพทย์ PCC'!M16+'3.ยาเรื้อรัง 15%'!M16+'4.ยาเรื้อรังฟรี'!M16</f>
        <v>0</v>
      </c>
      <c r="N16" s="192">
        <f>'1.ยาทั่วไป'!N16+'2.ยาแพทย์ PCC'!N16+'3.ยาเรื้อรัง 15%'!N16+'4.ยาเรื้อรังฟรี'!N16</f>
        <v>0</v>
      </c>
      <c r="O16" s="309">
        <f t="shared" si="1"/>
        <v>83490.919999999984</v>
      </c>
      <c r="P16" s="312">
        <f t="shared" si="0"/>
        <v>2.5659390668932171E-2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15%'!C17+'4.ยาเรื้อรังฟรี'!C17</f>
        <v>14508.24</v>
      </c>
      <c r="D17" s="192">
        <f>'1.ยาทั่วไป'!D17+'2.ยาแพทย์ PCC'!D17+'3.ยาเรื้อรัง 15%'!D17+'4.ยาเรื้อรังฟรี'!D17</f>
        <v>14373.650000000001</v>
      </c>
      <c r="E17" s="192">
        <f>'1.ยาทั่วไป'!E17+'2.ยาแพทย์ PCC'!E17+'3.ยาเรื้อรัง 15%'!E17+'4.ยาเรื้อรังฟรี'!E17</f>
        <v>8327.02</v>
      </c>
      <c r="F17" s="192">
        <f>'1.ยาทั่วไป'!F17+'2.ยาแพทย์ PCC'!F17+'3.ยาเรื้อรัง 15%'!F17+'4.ยาเรื้อรังฟรี'!F17</f>
        <v>14331.05</v>
      </c>
      <c r="G17" s="192">
        <f>'1.ยาทั่วไป'!G17+'2.ยาแพทย์ PCC'!G17+'3.ยาเรื้อรัง 15%'!G17+'4.ยาเรื้อรังฟรี'!G17</f>
        <v>21861.61</v>
      </c>
      <c r="H17" s="192">
        <f>'1.ยาทั่วไป'!H17+'2.ยาแพทย์ PCC'!H17+'3.ยาเรื้อรัง 15%'!H17+'4.ยาเรื้อรังฟรี'!H17</f>
        <v>24426.92</v>
      </c>
      <c r="I17" s="192">
        <f>'1.ยาทั่วไป'!I17+'2.ยาแพทย์ PCC'!I17+'3.ยาเรื้อรัง 15%'!I17+'4.ยาเรื้อรังฟรี'!I17</f>
        <v>18559.169999999998</v>
      </c>
      <c r="J17" s="192">
        <f>'1.ยาทั่วไป'!J17+'2.ยาแพทย์ PCC'!J17+'3.ยาเรื้อรัง 15%'!J17+'4.ยาเรื้อรังฟรี'!J17</f>
        <v>13604.619999999999</v>
      </c>
      <c r="K17" s="192">
        <f>'1.ยาทั่วไป'!K17+'2.ยาแพทย์ PCC'!K17+'3.ยาเรื้อรัง 15%'!K17+'4.ยาเรื้อรังฟรี'!K17</f>
        <v>0</v>
      </c>
      <c r="L17" s="192">
        <f>'1.ยาทั่วไป'!L17+'2.ยาแพทย์ PCC'!L17+'3.ยาเรื้อรัง 15%'!L17+'4.ยาเรื้อรังฟรี'!L17</f>
        <v>0</v>
      </c>
      <c r="M17" s="192">
        <f>'1.ยาทั่วไป'!M17+'2.ยาแพทย์ PCC'!M17+'3.ยาเรื้อรัง 15%'!M17+'4.ยาเรื้อรังฟรี'!M17</f>
        <v>0</v>
      </c>
      <c r="N17" s="192">
        <f>'1.ยาทั่วไป'!N17+'2.ยาแพทย์ PCC'!N17+'3.ยาเรื้อรัง 15%'!N17+'4.ยาเรื้อรังฟรี'!N17</f>
        <v>0</v>
      </c>
      <c r="O17" s="309">
        <f t="shared" si="1"/>
        <v>129992.28</v>
      </c>
      <c r="P17" s="312">
        <f t="shared" si="0"/>
        <v>3.9950723940582029E-2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15%'!C18+'4.ยาเรื้อรังฟรี'!C18</f>
        <v>11387.16</v>
      </c>
      <c r="D18" s="192">
        <f>'1.ยาทั่วไป'!D18+'2.ยาแพทย์ PCC'!D18+'3.ยาเรื้อรัง 15%'!D18+'4.ยาเรื้อรังฟรี'!D18</f>
        <v>6043.19</v>
      </c>
      <c r="E18" s="192">
        <f>'1.ยาทั่วไป'!E18+'2.ยาแพทย์ PCC'!E18+'3.ยาเรื้อรัง 15%'!E18+'4.ยาเรื้อรังฟรี'!E18</f>
        <v>5904.66</v>
      </c>
      <c r="F18" s="192">
        <f>'1.ยาทั่วไป'!F18+'2.ยาแพทย์ PCC'!F18+'3.ยาเรื้อรัง 15%'!F18+'4.ยาเรื้อรังฟรี'!F18</f>
        <v>4928.6499999999996</v>
      </c>
      <c r="G18" s="192">
        <f>'1.ยาทั่วไป'!G18+'2.ยาแพทย์ PCC'!G18+'3.ยาเรื้อรัง 15%'!G18+'4.ยาเรื้อรังฟรี'!G18</f>
        <v>16796.89</v>
      </c>
      <c r="H18" s="192">
        <f>'1.ยาทั่วไป'!H18+'2.ยาแพทย์ PCC'!H18+'3.ยาเรื้อรัง 15%'!H18+'4.ยาเรื้อรังฟรี'!H18</f>
        <v>845</v>
      </c>
      <c r="I18" s="192">
        <f>'1.ยาทั่วไป'!I18+'2.ยาแพทย์ PCC'!I18+'3.ยาเรื้อรัง 15%'!I18+'4.ยาเรื้อรังฟรี'!I18</f>
        <v>10364.040000000001</v>
      </c>
      <c r="J18" s="192">
        <f>'1.ยาทั่วไป'!J18+'2.ยาแพทย์ PCC'!J18+'3.ยาเรื้อรัง 15%'!J18+'4.ยาเรื้อรังฟรี'!J18</f>
        <v>10048.75</v>
      </c>
      <c r="K18" s="192">
        <f>'1.ยาทั่วไป'!K18+'2.ยาแพทย์ PCC'!K18+'3.ยาเรื้อรัง 15%'!K18+'4.ยาเรื้อรังฟรี'!K18</f>
        <v>0</v>
      </c>
      <c r="L18" s="192">
        <f>'1.ยาทั่วไป'!L18+'2.ยาแพทย์ PCC'!L18+'3.ยาเรื้อรัง 15%'!L18+'4.ยาเรื้อรังฟรี'!L18</f>
        <v>0</v>
      </c>
      <c r="M18" s="192">
        <f>'1.ยาทั่วไป'!M18+'2.ยาแพทย์ PCC'!M18+'3.ยาเรื้อรัง 15%'!M18+'4.ยาเรื้อรังฟรี'!M18</f>
        <v>0</v>
      </c>
      <c r="N18" s="192">
        <f>'1.ยาทั่วไป'!N18+'2.ยาแพทย์ PCC'!N18+'3.ยาเรื้อรัง 15%'!N18+'4.ยาเรื้อรังฟรี'!N18</f>
        <v>0</v>
      </c>
      <c r="O18" s="309">
        <f t="shared" si="1"/>
        <v>66318.34</v>
      </c>
      <c r="P18" s="312">
        <f t="shared" si="0"/>
        <v>2.0381715695252507E-2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15%'!C19+'4.ยาเรื้อรังฟรี'!C19</f>
        <v>53743.519999999997</v>
      </c>
      <c r="D19" s="192">
        <f>'1.ยาทั่วไป'!D19+'2.ยาแพทย์ PCC'!D19+'3.ยาเรื้อรัง 15%'!D19+'4.ยาเรื้อรังฟรี'!D19</f>
        <v>25808.71</v>
      </c>
      <c r="E19" s="192">
        <f>'1.ยาทั่วไป'!E19+'2.ยาแพทย์ PCC'!E19+'3.ยาเรื้อรัง 15%'!E19+'4.ยาเรื้อรังฟรี'!E19</f>
        <v>14813.64</v>
      </c>
      <c r="F19" s="192">
        <f>'1.ยาทั่วไป'!F19+'2.ยาแพทย์ PCC'!F19+'3.ยาเรื้อรัง 15%'!F19+'4.ยาเรื้อรังฟรี'!F19</f>
        <v>15568</v>
      </c>
      <c r="G19" s="192">
        <f>'1.ยาทั่วไป'!G19+'2.ยาแพทย์ PCC'!G19+'3.ยาเรื้อรัง 15%'!G19+'4.ยาเรื้อรังฟรี'!G19</f>
        <v>6954.36</v>
      </c>
      <c r="H19" s="192">
        <f>'1.ยาทั่วไป'!H19+'2.ยาแพทย์ PCC'!H19+'3.ยาเรื้อรัง 15%'!H19+'4.ยาเรื้อรังฟรี'!H19</f>
        <v>55158.54</v>
      </c>
      <c r="I19" s="192">
        <f>'1.ยาทั่วไป'!I19+'2.ยาแพทย์ PCC'!I19+'3.ยาเรื้อรัง 15%'!I19+'4.ยาเรื้อรังฟรี'!I19</f>
        <v>14424.29</v>
      </c>
      <c r="J19" s="192">
        <f>'1.ยาทั่วไป'!J19+'2.ยาแพทย์ PCC'!J19+'3.ยาเรื้อรัง 15%'!J19+'4.ยาเรื้อรังฟรี'!J19</f>
        <v>22289.42</v>
      </c>
      <c r="K19" s="192">
        <f>'1.ยาทั่วไป'!K19+'2.ยาแพทย์ PCC'!K19+'3.ยาเรื้อรัง 15%'!K19+'4.ยาเรื้อรังฟรี'!K19</f>
        <v>0</v>
      </c>
      <c r="L19" s="192">
        <f>'1.ยาทั่วไป'!L19+'2.ยาแพทย์ PCC'!L19+'3.ยาเรื้อรัง 15%'!L19+'4.ยาเรื้อรังฟรี'!L19</f>
        <v>0</v>
      </c>
      <c r="M19" s="192">
        <f>'1.ยาทั่วไป'!M19+'2.ยาแพทย์ PCC'!M19+'3.ยาเรื้อรัง 15%'!M19+'4.ยาเรื้อรังฟรี'!M19</f>
        <v>0</v>
      </c>
      <c r="N19" s="192">
        <f>'1.ยาทั่วไป'!N19+'2.ยาแพทย์ PCC'!N19+'3.ยาเรื้อรัง 15%'!N19+'4.ยาเรื้อรังฟรี'!N19</f>
        <v>0</v>
      </c>
      <c r="O19" s="309">
        <f t="shared" si="1"/>
        <v>208760.47999999998</v>
      </c>
      <c r="P19" s="312">
        <f t="shared" si="0"/>
        <v>6.4158673931893451E-2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15%'!C20+'4.ยาเรื้อรังฟรี'!C20</f>
        <v>0</v>
      </c>
      <c r="D20" s="192">
        <f>'1.ยาทั่วไป'!D20+'2.ยาแพทย์ PCC'!D20+'3.ยาเรื้อรัง 15%'!D20+'4.ยาเรื้อรังฟรี'!D20</f>
        <v>31733.489999999998</v>
      </c>
      <c r="E20" s="192">
        <f>'1.ยาทั่วไป'!E20+'2.ยาแพทย์ PCC'!E20+'3.ยาเรื้อรัง 15%'!E20+'4.ยาเรื้อรังฟรี'!E20</f>
        <v>10720.05</v>
      </c>
      <c r="F20" s="192">
        <f>'1.ยาทั่วไป'!F20+'2.ยาแพทย์ PCC'!F20+'3.ยาเรื้อรัง 15%'!F20+'4.ยาเรื้อรังฟรี'!F20</f>
        <v>5297.5</v>
      </c>
      <c r="G20" s="192">
        <f>'1.ยาทั่วไป'!G20+'2.ยาแพทย์ PCC'!G20+'3.ยาเรื้อรัง 15%'!G20+'4.ยาเรื้อรังฟรี'!G20</f>
        <v>12317.130000000001</v>
      </c>
      <c r="H20" s="192">
        <f>'1.ยาทั่วไป'!H20+'2.ยาแพทย์ PCC'!H20+'3.ยาเรื้อรัง 15%'!H20+'4.ยาเรื้อรังฟรี'!H20</f>
        <v>7262.8</v>
      </c>
      <c r="I20" s="192">
        <f>'1.ยาทั่วไป'!I20+'2.ยาแพทย์ PCC'!I20+'3.ยาเรื้อรัง 15%'!I20+'4.ยาเรื้อรังฟรี'!I20</f>
        <v>17266.73</v>
      </c>
      <c r="J20" s="192">
        <f>'1.ยาทั่วไป'!J20+'2.ยาแพทย์ PCC'!J20+'3.ยาเรื้อรัง 15%'!J20+'4.ยาเรื้อรังฟรี'!J20</f>
        <v>13219.939999999999</v>
      </c>
      <c r="K20" s="192">
        <f>'1.ยาทั่วไป'!K20+'2.ยาแพทย์ PCC'!K20+'3.ยาเรื้อรัง 15%'!K20+'4.ยาเรื้อรังฟรี'!K20</f>
        <v>0</v>
      </c>
      <c r="L20" s="192">
        <f>'1.ยาทั่วไป'!L20+'2.ยาแพทย์ PCC'!L20+'3.ยาเรื้อรัง 15%'!L20+'4.ยาเรื้อรังฟรี'!L20</f>
        <v>0</v>
      </c>
      <c r="M20" s="192">
        <f>'1.ยาทั่วไป'!M20+'2.ยาแพทย์ PCC'!M20+'3.ยาเรื้อรัง 15%'!M20+'4.ยาเรื้อรังฟรี'!M20</f>
        <v>0</v>
      </c>
      <c r="N20" s="192">
        <f>'1.ยาทั่วไป'!N20+'2.ยาแพทย์ PCC'!N20+'3.ยาเรื้อรัง 15%'!N20+'4.ยาเรื้อรังฟรี'!N20</f>
        <v>0</v>
      </c>
      <c r="O20" s="309">
        <f t="shared" si="1"/>
        <v>97817.64</v>
      </c>
      <c r="P20" s="312">
        <f t="shared" si="0"/>
        <v>3.0062443186312557E-2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15%'!C21+'4.ยาเรื้อรังฟรี'!C21</f>
        <v>24049.58</v>
      </c>
      <c r="D21" s="192">
        <f>'1.ยาทั่วไป'!D21+'2.ยาแพทย์ PCC'!D21+'3.ยาเรื้อรัง 15%'!D21+'4.ยาเรื้อรังฟรี'!D21</f>
        <v>18763.379999999997</v>
      </c>
      <c r="E21" s="192">
        <f>'1.ยาทั่วไป'!E21+'2.ยาแพทย์ PCC'!E21+'3.ยาเรื้อรัง 15%'!E21+'4.ยาเรื้อรังฟรี'!E21</f>
        <v>14589.5</v>
      </c>
      <c r="F21" s="192">
        <f>'1.ยาทั่วไป'!F21+'2.ยาแพทย์ PCC'!F21+'3.ยาเรื้อรัง 15%'!F21+'4.ยาเรื้อรังฟรี'!F21</f>
        <v>17448.86</v>
      </c>
      <c r="G21" s="192">
        <f>'1.ยาทั่วไป'!G21+'2.ยาแพทย์ PCC'!G21+'3.ยาเรื้อรัง 15%'!G21+'4.ยาเรื้อรังฟรี'!G21</f>
        <v>16055.94</v>
      </c>
      <c r="H21" s="192">
        <f>'1.ยาทั่วไป'!H21+'2.ยาแพทย์ PCC'!H21+'3.ยาเรื้อรัง 15%'!H21+'4.ยาเรื้อรังฟรี'!H21</f>
        <v>20825.11</v>
      </c>
      <c r="I21" s="192">
        <f>'1.ยาทั่วไป'!I21+'2.ยาแพทย์ PCC'!I21+'3.ยาเรื้อรัง 15%'!I21+'4.ยาเรื้อรังฟรี'!I21</f>
        <v>23683.87</v>
      </c>
      <c r="J21" s="192">
        <f>'1.ยาทั่วไป'!J21+'2.ยาแพทย์ PCC'!J21+'3.ยาเรื้อรัง 15%'!J21+'4.ยาเรื้อรังฟรี'!J21</f>
        <v>22296.959999999999</v>
      </c>
      <c r="K21" s="192">
        <f>'1.ยาทั่วไป'!K21+'2.ยาแพทย์ PCC'!K21+'3.ยาเรื้อรัง 15%'!K21+'4.ยาเรื้อรังฟรี'!K21</f>
        <v>0</v>
      </c>
      <c r="L21" s="192">
        <f>'1.ยาทั่วไป'!L21+'2.ยาแพทย์ PCC'!L21+'3.ยาเรื้อรัง 15%'!L21+'4.ยาเรื้อรังฟรี'!L21</f>
        <v>0</v>
      </c>
      <c r="M21" s="192">
        <f>'1.ยาทั่วไป'!M21+'2.ยาแพทย์ PCC'!M21+'3.ยาเรื้อรัง 15%'!M21+'4.ยาเรื้อรังฟรี'!M21</f>
        <v>0</v>
      </c>
      <c r="N21" s="192">
        <f>'1.ยาทั่วไป'!N21+'2.ยาแพทย์ PCC'!N21+'3.ยาเรื้อรัง 15%'!N21+'4.ยาเรื้อรังฟรี'!N21</f>
        <v>0</v>
      </c>
      <c r="O21" s="309">
        <f t="shared" si="1"/>
        <v>157713.20000000001</v>
      </c>
      <c r="P21" s="312">
        <f t="shared" si="0"/>
        <v>4.847023619391707E-2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15%'!C22+'4.ยาเรื้อรังฟรี'!C22</f>
        <v>7582.1</v>
      </c>
      <c r="D22" s="192">
        <f>'1.ยาทั่วไป'!D22+'2.ยาแพทย์ PCC'!D22+'3.ยาเรื้อรัง 15%'!D22+'4.ยาเรื้อรังฟรี'!D22</f>
        <v>26616.32</v>
      </c>
      <c r="E22" s="192">
        <f>'1.ยาทั่วไป'!E22+'2.ยาแพทย์ PCC'!E22+'3.ยาเรื้อรัง 15%'!E22+'4.ยาเรื้อรังฟรี'!E22</f>
        <v>0</v>
      </c>
      <c r="F22" s="192">
        <f>'1.ยาทั่วไป'!F22+'2.ยาแพทย์ PCC'!F22+'3.ยาเรื้อรัง 15%'!F22+'4.ยาเรื้อรังฟรี'!F22</f>
        <v>6846.25</v>
      </c>
      <c r="G22" s="192">
        <f>'1.ยาทั่วไป'!G22+'2.ยาแพทย์ PCC'!G22+'3.ยาเรื้อรัง 15%'!G22+'4.ยาเรื้อรังฟรี'!G22</f>
        <v>9178.4</v>
      </c>
      <c r="H22" s="192">
        <f>'1.ยาทั่วไป'!H22+'2.ยาแพทย์ PCC'!H22+'3.ยาเรื้อรัง 15%'!H22+'4.ยาเรื้อรังฟรี'!H22</f>
        <v>7931.52</v>
      </c>
      <c r="I22" s="192">
        <f>'1.ยาทั่วไป'!I22+'2.ยาแพทย์ PCC'!I22+'3.ยาเรื้อรัง 15%'!I22+'4.ยาเรื้อรังฟรี'!I22</f>
        <v>14424.76</v>
      </c>
      <c r="J22" s="192">
        <f>'1.ยาทั่วไป'!J22+'2.ยาแพทย์ PCC'!J22+'3.ยาเรื้อรัง 15%'!J22+'4.ยาเรื้อรังฟรี'!J22</f>
        <v>5733.16</v>
      </c>
      <c r="K22" s="192">
        <f>'1.ยาทั่วไป'!K22+'2.ยาแพทย์ PCC'!K22+'3.ยาเรื้อรัง 15%'!K22+'4.ยาเรื้อรังฟรี'!K22</f>
        <v>0</v>
      </c>
      <c r="L22" s="192">
        <f>'1.ยาทั่วไป'!L22+'2.ยาแพทย์ PCC'!L22+'3.ยาเรื้อรัง 15%'!L22+'4.ยาเรื้อรังฟรี'!L22</f>
        <v>0</v>
      </c>
      <c r="M22" s="192">
        <f>'1.ยาทั่วไป'!M22+'2.ยาแพทย์ PCC'!M22+'3.ยาเรื้อรัง 15%'!M22+'4.ยาเรื้อรังฟรี'!M22</f>
        <v>0</v>
      </c>
      <c r="N22" s="192">
        <f>'1.ยาทั่วไป'!N22+'2.ยาแพทย์ PCC'!N22+'3.ยาเรื้อรัง 15%'!N22+'4.ยาเรื้อรังฟรี'!N22</f>
        <v>0</v>
      </c>
      <c r="O22" s="309">
        <f t="shared" si="1"/>
        <v>78312.509999999995</v>
      </c>
      <c r="P22" s="312">
        <f t="shared" si="0"/>
        <v>2.406790209467877E-2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355043.06</v>
      </c>
      <c r="D23" s="194">
        <f t="shared" ref="D23:N23" si="2">SUM(D5:D22)</f>
        <v>483447.83</v>
      </c>
      <c r="E23" s="194">
        <f t="shared" si="2"/>
        <v>410940.14</v>
      </c>
      <c r="F23" s="194">
        <f t="shared" si="2"/>
        <v>300631.58</v>
      </c>
      <c r="G23" s="194">
        <f t="shared" si="2"/>
        <v>441178.93000000005</v>
      </c>
      <c r="H23" s="194">
        <f t="shared" si="2"/>
        <v>396893.56999999995</v>
      </c>
      <c r="I23" s="194">
        <f t="shared" si="2"/>
        <v>500142.97999999992</v>
      </c>
      <c r="J23" s="194">
        <f t="shared" si="2"/>
        <v>365537.29</v>
      </c>
      <c r="K23" s="194">
        <f t="shared" si="2"/>
        <v>0</v>
      </c>
      <c r="L23" s="194">
        <f t="shared" si="2"/>
        <v>0</v>
      </c>
      <c r="M23" s="194">
        <f t="shared" si="2"/>
        <v>0</v>
      </c>
      <c r="N23" s="194">
        <f t="shared" si="2"/>
        <v>0</v>
      </c>
      <c r="O23" s="310">
        <f t="shared" ref="O23:O26" si="3">SUM(C23:N23)</f>
        <v>3253815.38</v>
      </c>
      <c r="P23" s="313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23408.81</v>
      </c>
      <c r="D24" s="192">
        <f>'1.ยาทั่วไป'!D24</f>
        <v>15855.72</v>
      </c>
      <c r="E24" s="192">
        <f>'1.ยาทั่วไป'!E24</f>
        <v>85987.41</v>
      </c>
      <c r="F24" s="192">
        <f>'1.ยาทั่วไป'!F24</f>
        <v>57549.58</v>
      </c>
      <c r="G24" s="192">
        <f>'1.ยาทั่วไป'!G24</f>
        <v>45929</v>
      </c>
      <c r="H24" s="192">
        <f>'1.ยาทั่วไป'!H24</f>
        <v>26684.62</v>
      </c>
      <c r="I24" s="192">
        <f>'1.ยาทั่วไป'!I24</f>
        <v>38680.400000000001</v>
      </c>
      <c r="J24" s="192">
        <f>'1.ยาทั่วไป'!J24</f>
        <v>44846.94</v>
      </c>
      <c r="K24" s="192">
        <f>'1.ยาทั่วไป'!K24</f>
        <v>0</v>
      </c>
      <c r="L24" s="192">
        <f>'1.ยาทั่วไป'!L24</f>
        <v>0</v>
      </c>
      <c r="M24" s="192">
        <f>'1.ยาทั่วไป'!M24</f>
        <v>0</v>
      </c>
      <c r="N24" s="192">
        <f>'1.ยาทั่วไป'!N24</f>
        <v>0</v>
      </c>
      <c r="O24" s="309">
        <f t="shared" si="3"/>
        <v>338942.48000000004</v>
      </c>
      <c r="P24" s="312">
        <f t="shared" si="0"/>
        <v>0.10416770480690274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09">
        <f t="shared" si="3"/>
        <v>0</v>
      </c>
      <c r="P25" s="312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23408.81</v>
      </c>
      <c r="D26" s="195">
        <f t="shared" ref="D26:N26" si="4">SUM(D24:D25)</f>
        <v>15855.72</v>
      </c>
      <c r="E26" s="195">
        <f t="shared" si="4"/>
        <v>85987.41</v>
      </c>
      <c r="F26" s="195">
        <f t="shared" si="4"/>
        <v>57549.58</v>
      </c>
      <c r="G26" s="195">
        <f t="shared" si="4"/>
        <v>45929</v>
      </c>
      <c r="H26" s="195">
        <f t="shared" si="4"/>
        <v>26684.62</v>
      </c>
      <c r="I26" s="195">
        <f t="shared" si="4"/>
        <v>38680.400000000001</v>
      </c>
      <c r="J26" s="195">
        <f t="shared" si="4"/>
        <v>44846.94</v>
      </c>
      <c r="K26" s="195">
        <f t="shared" si="4"/>
        <v>0</v>
      </c>
      <c r="L26" s="195">
        <f t="shared" si="4"/>
        <v>0</v>
      </c>
      <c r="M26" s="195">
        <f t="shared" si="4"/>
        <v>0</v>
      </c>
      <c r="N26" s="195">
        <f t="shared" si="4"/>
        <v>0</v>
      </c>
      <c r="O26" s="311">
        <f t="shared" si="3"/>
        <v>338942.48000000004</v>
      </c>
      <c r="P26" s="317">
        <f t="shared" si="0"/>
        <v>0.10416770480690274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378451.87</v>
      </c>
      <c r="D27" s="204">
        <f t="shared" ref="D27:M27" si="5">D23+D26</f>
        <v>499303.55</v>
      </c>
      <c r="E27" s="204">
        <f t="shared" si="5"/>
        <v>496927.55000000005</v>
      </c>
      <c r="F27" s="204">
        <f t="shared" si="5"/>
        <v>358181.16000000003</v>
      </c>
      <c r="G27" s="204">
        <f t="shared" si="5"/>
        <v>487107.93000000005</v>
      </c>
      <c r="H27" s="204">
        <f t="shared" si="5"/>
        <v>423578.18999999994</v>
      </c>
      <c r="I27" s="204">
        <f t="shared" si="5"/>
        <v>538823.37999999989</v>
      </c>
      <c r="J27" s="204">
        <f t="shared" si="5"/>
        <v>410384.23</v>
      </c>
      <c r="K27" s="204">
        <f t="shared" si="5"/>
        <v>0</v>
      </c>
      <c r="L27" s="204">
        <f t="shared" si="5"/>
        <v>0</v>
      </c>
      <c r="M27" s="204">
        <f t="shared" si="5"/>
        <v>0</v>
      </c>
      <c r="N27" s="204">
        <f t="shared" ref="N27" si="6">N23+N26</f>
        <v>0</v>
      </c>
      <c r="O27" s="204">
        <f>SUM(C27:N27)</f>
        <v>3592757.86</v>
      </c>
      <c r="P27" s="318">
        <f t="shared" si="0"/>
        <v>1.1041677048069027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2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2563</v>
      </c>
      <c r="L1" s="82"/>
      <c r="M1" s="82"/>
      <c r="N1" s="82"/>
      <c r="O1" s="147"/>
      <c r="P1" s="321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27/5/64</v>
      </c>
      <c r="O2" s="147"/>
      <c r="P2" s="321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0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87156.71</v>
      </c>
      <c r="D5" s="201">
        <f>'1.1รวมยาทั้งหมด(1+2+3+4)'!D5+'5.vaccine'!D5</f>
        <v>79143.850000000006</v>
      </c>
      <c r="E5" s="201">
        <f>'1.1รวมยาทั้งหมด(1+2+3+4)'!E5+'5.vaccine'!E5</f>
        <v>94860.92</v>
      </c>
      <c r="F5" s="201">
        <f>'1.1รวมยาทั้งหมด(1+2+3+4)'!F5+'5.vaccine'!F5</f>
        <v>103064.03</v>
      </c>
      <c r="G5" s="201">
        <f>'1.1รวมยาทั้งหมด(1+2+3+4)'!G5+'5.vaccine'!G5</f>
        <v>90590.66</v>
      </c>
      <c r="H5" s="201">
        <f>'1.1รวมยาทั้งหมด(1+2+3+4)'!H5+'5.vaccine'!H5</f>
        <v>64141.849999999991</v>
      </c>
      <c r="I5" s="201">
        <f>'1.1รวมยาทั้งหมด(1+2+3+4)'!I5+'5.vaccine'!I5</f>
        <v>138249.51</v>
      </c>
      <c r="J5" s="201">
        <f>'1.1รวมยาทั้งหมด(1+2+3+4)'!J5+'5.vaccine'!J5</f>
        <v>85048.55</v>
      </c>
      <c r="K5" s="201">
        <f>'1.1รวมยาทั้งหมด(1+2+3+4)'!K5+'5.vaccine'!K5</f>
        <v>0</v>
      </c>
      <c r="L5" s="201">
        <f>'1.1รวมยาทั้งหมด(1+2+3+4)'!L5+'5.vaccine'!L5</f>
        <v>0</v>
      </c>
      <c r="M5" s="201">
        <f>'1.1รวมยาทั้งหมด(1+2+3+4)'!M5+'5.vaccine'!M5</f>
        <v>0</v>
      </c>
      <c r="N5" s="201">
        <f>'1.1รวมยาทั้งหมด(1+2+3+4)'!N5+'5.vaccine'!N5</f>
        <v>0</v>
      </c>
      <c r="O5" s="213">
        <f>SUM(C5:N5)</f>
        <v>742256.08000000007</v>
      </c>
      <c r="P5" s="323">
        <f t="shared" ref="P5:P27" si="0">O5/$O$23</f>
        <v>0.17695546277636975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50466.950000000004</v>
      </c>
      <c r="D6" s="201">
        <f>'1.1รวมยาทั้งหมด(1+2+3+4)'!D6+'5.vaccine'!D6</f>
        <v>43964.57</v>
      </c>
      <c r="E6" s="201">
        <f>'1.1รวมยาทั้งหมด(1+2+3+4)'!E6+'5.vaccine'!E6</f>
        <v>60329.79</v>
      </c>
      <c r="F6" s="201">
        <f>'1.1รวมยาทั้งหมด(1+2+3+4)'!F6+'5.vaccine'!F6</f>
        <v>34700.65</v>
      </c>
      <c r="G6" s="201">
        <f>'1.1รวมยาทั้งหมด(1+2+3+4)'!G6+'5.vaccine'!G6</f>
        <v>50747.979999999996</v>
      </c>
      <c r="H6" s="201">
        <f>'1.1รวมยาทั้งหมด(1+2+3+4)'!H6+'5.vaccine'!H6</f>
        <v>65832.2</v>
      </c>
      <c r="I6" s="201">
        <f>'1.1รวมยาทั้งหมด(1+2+3+4)'!I6+'5.vaccine'!I6</f>
        <v>66555.599999999991</v>
      </c>
      <c r="J6" s="201">
        <f>'1.1รวมยาทั้งหมด(1+2+3+4)'!J6+'5.vaccine'!J6</f>
        <v>55994.39</v>
      </c>
      <c r="K6" s="201">
        <f>'1.1รวมยาทั้งหมด(1+2+3+4)'!K6+'5.vaccine'!K6</f>
        <v>0</v>
      </c>
      <c r="L6" s="201">
        <f>'1.1รวมยาทั้งหมด(1+2+3+4)'!L6+'5.vaccine'!L6</f>
        <v>0</v>
      </c>
      <c r="M6" s="201">
        <f>'1.1รวมยาทั้งหมด(1+2+3+4)'!M6+'5.vaccine'!M6</f>
        <v>0</v>
      </c>
      <c r="N6" s="201">
        <f>'1.1รวมยาทั้งหมด(1+2+3+4)'!N6+'5.vaccine'!N6</f>
        <v>0</v>
      </c>
      <c r="O6" s="213">
        <f t="shared" ref="O6:O22" si="1">SUM(C6:N6)</f>
        <v>428592.13</v>
      </c>
      <c r="P6" s="323">
        <f t="shared" si="0"/>
        <v>0.10217729534321904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34721.040000000001</v>
      </c>
      <c r="D7" s="201">
        <f>'1.1รวมยาทั้งหมด(1+2+3+4)'!D7+'5.vaccine'!D7</f>
        <v>28065.71</v>
      </c>
      <c r="E7" s="201">
        <f>'1.1รวมยาทั้งหมด(1+2+3+4)'!E7+'5.vaccine'!E7</f>
        <v>19245.55</v>
      </c>
      <c r="F7" s="201">
        <f>'1.1รวมยาทั้งหมด(1+2+3+4)'!F7+'5.vaccine'!F7</f>
        <v>22919.489999999998</v>
      </c>
      <c r="G7" s="201">
        <f>'1.1รวมยาทั้งหมด(1+2+3+4)'!G7+'5.vaccine'!G7</f>
        <v>26751.91</v>
      </c>
      <c r="H7" s="201">
        <f>'1.1รวมยาทั้งหมด(1+2+3+4)'!H7+'5.vaccine'!H7</f>
        <v>19435.5</v>
      </c>
      <c r="I7" s="201">
        <f>'1.1รวมยาทั้งหมด(1+2+3+4)'!I7+'5.vaccine'!I7</f>
        <v>24522.04</v>
      </c>
      <c r="J7" s="201">
        <f>'1.1รวมยาทั้งหมด(1+2+3+4)'!J7+'5.vaccine'!J7</f>
        <v>28833.75</v>
      </c>
      <c r="K7" s="201">
        <f>'1.1รวมยาทั้งหมด(1+2+3+4)'!K7+'5.vaccine'!K7</f>
        <v>0</v>
      </c>
      <c r="L7" s="201">
        <f>'1.1รวมยาทั้งหมด(1+2+3+4)'!L7+'5.vaccine'!L7</f>
        <v>0</v>
      </c>
      <c r="M7" s="201">
        <f>'1.1รวมยาทั้งหมด(1+2+3+4)'!M7+'5.vaccine'!M7</f>
        <v>0</v>
      </c>
      <c r="N7" s="201">
        <f>'1.1รวมยาทั้งหมด(1+2+3+4)'!N7+'5.vaccine'!N7</f>
        <v>0</v>
      </c>
      <c r="O7" s="213">
        <f t="shared" si="1"/>
        <v>204494.99000000002</v>
      </c>
      <c r="P7" s="323">
        <f t="shared" si="0"/>
        <v>4.875205008883067E-2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19099.189999999999</v>
      </c>
      <c r="D8" s="201">
        <f>'1.1รวมยาทั้งหมด(1+2+3+4)'!D8+'5.vaccine'!D8</f>
        <v>70490.94</v>
      </c>
      <c r="E8" s="201">
        <f>'1.1รวมยาทั้งหมด(1+2+3+4)'!E8+'5.vaccine'!E8</f>
        <v>85319.46</v>
      </c>
      <c r="F8" s="201">
        <f>'1.1รวมยาทั้งหมด(1+2+3+4)'!F8+'5.vaccine'!F8</f>
        <v>26459.45</v>
      </c>
      <c r="G8" s="201">
        <f>'1.1รวมยาทั้งหมด(1+2+3+4)'!G8+'5.vaccine'!G8</f>
        <v>106222.26</v>
      </c>
      <c r="H8" s="201">
        <f>'1.1รวมยาทั้งหมด(1+2+3+4)'!H8+'5.vaccine'!H8</f>
        <v>35993.199999999997</v>
      </c>
      <c r="I8" s="201">
        <f>'1.1รวมยาทั้งหมด(1+2+3+4)'!I8+'5.vaccine'!I8</f>
        <v>40108.339999999997</v>
      </c>
      <c r="J8" s="201">
        <f>'1.1รวมยาทั้งหมด(1+2+3+4)'!J8+'5.vaccine'!J8</f>
        <v>18962.84</v>
      </c>
      <c r="K8" s="201">
        <f>'1.1รวมยาทั้งหมด(1+2+3+4)'!K8+'5.vaccine'!K8</f>
        <v>0</v>
      </c>
      <c r="L8" s="201">
        <f>'1.1รวมยาทั้งหมด(1+2+3+4)'!L8+'5.vaccine'!L8</f>
        <v>0</v>
      </c>
      <c r="M8" s="201">
        <f>'1.1รวมยาทั้งหมด(1+2+3+4)'!M8+'5.vaccine'!M8</f>
        <v>0</v>
      </c>
      <c r="N8" s="201">
        <f>'1.1รวมยาทั้งหมด(1+2+3+4)'!N8+'5.vaccine'!N8</f>
        <v>0</v>
      </c>
      <c r="O8" s="213">
        <f t="shared" si="1"/>
        <v>402655.68000000011</v>
      </c>
      <c r="P8" s="323">
        <f t="shared" si="0"/>
        <v>9.5993989289968315E-2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14021.14</v>
      </c>
      <c r="D9" s="201">
        <f>'1.1รวมยาทั้งหมด(1+2+3+4)'!D9+'5.vaccine'!D9</f>
        <v>29934.799999999996</v>
      </c>
      <c r="E9" s="201">
        <f>'1.1รวมยาทั้งหมด(1+2+3+4)'!E9+'5.vaccine'!E9</f>
        <v>35218.76</v>
      </c>
      <c r="F9" s="201">
        <f>'1.1รวมยาทั้งหมด(1+2+3+4)'!F9+'5.vaccine'!F9</f>
        <v>19703.5</v>
      </c>
      <c r="G9" s="201">
        <f>'1.1รวมยาทั้งหมด(1+2+3+4)'!G9+'5.vaccine'!G9</f>
        <v>17218.96</v>
      </c>
      <c r="H9" s="201">
        <f>'1.1รวมยาทั้งหมด(1+2+3+4)'!H9+'5.vaccine'!H9</f>
        <v>13490.54</v>
      </c>
      <c r="I9" s="201">
        <f>'1.1รวมยาทั้งหมด(1+2+3+4)'!I9+'5.vaccine'!I9</f>
        <v>29110.03</v>
      </c>
      <c r="J9" s="201">
        <f>'1.1รวมยาทั้งหมด(1+2+3+4)'!J9+'5.vaccine'!J9</f>
        <v>17882.560000000001</v>
      </c>
      <c r="K9" s="201">
        <f>'1.1รวมยาทั้งหมด(1+2+3+4)'!K9+'5.vaccine'!K9</f>
        <v>0</v>
      </c>
      <c r="L9" s="201">
        <f>'1.1รวมยาทั้งหมด(1+2+3+4)'!L9+'5.vaccine'!L9</f>
        <v>0</v>
      </c>
      <c r="M9" s="201">
        <f>'1.1รวมยาทั้งหมด(1+2+3+4)'!M9+'5.vaccine'!M9</f>
        <v>0</v>
      </c>
      <c r="N9" s="201">
        <f>'1.1รวมยาทั้งหมด(1+2+3+4)'!N9+'5.vaccine'!N9</f>
        <v>0</v>
      </c>
      <c r="O9" s="213">
        <f t="shared" si="1"/>
        <v>176580.29</v>
      </c>
      <c r="P9" s="323">
        <f t="shared" si="0"/>
        <v>4.2097124935824813E-2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16721.28</v>
      </c>
      <c r="D10" s="201">
        <f>'1.1รวมยาทั้งหมด(1+2+3+4)'!D10+'5.vaccine'!D10</f>
        <v>37036.74</v>
      </c>
      <c r="E10" s="201">
        <f>'1.1รวมยาทั้งหมด(1+2+3+4)'!E10+'5.vaccine'!E10</f>
        <v>13223.69</v>
      </c>
      <c r="F10" s="201">
        <f>'1.1รวมยาทั้งหมด(1+2+3+4)'!F10+'5.vaccine'!F10</f>
        <v>11656.91</v>
      </c>
      <c r="G10" s="201">
        <f>'1.1รวมยาทั้งหมด(1+2+3+4)'!G10+'5.vaccine'!G10</f>
        <v>16565.34</v>
      </c>
      <c r="H10" s="201">
        <f>'1.1รวมยาทั้งหมด(1+2+3+4)'!H10+'5.vaccine'!H10</f>
        <v>14398.05</v>
      </c>
      <c r="I10" s="201">
        <f>'1.1รวมยาทั้งหมด(1+2+3+4)'!I10+'5.vaccine'!I10</f>
        <v>34992.800000000003</v>
      </c>
      <c r="J10" s="201">
        <f>'1.1รวมยาทั้งหมด(1+2+3+4)'!J10+'5.vaccine'!J10</f>
        <v>28101.809999999998</v>
      </c>
      <c r="K10" s="201">
        <f>'1.1รวมยาทั้งหมด(1+2+3+4)'!K10+'5.vaccine'!K10</f>
        <v>0</v>
      </c>
      <c r="L10" s="201">
        <f>'1.1รวมยาทั้งหมด(1+2+3+4)'!L10+'5.vaccine'!L10</f>
        <v>0</v>
      </c>
      <c r="M10" s="201">
        <f>'1.1รวมยาทั้งหมด(1+2+3+4)'!M10+'5.vaccine'!M10</f>
        <v>0</v>
      </c>
      <c r="N10" s="201">
        <f>'1.1รวมยาทั้งหมด(1+2+3+4)'!N10+'5.vaccine'!N10</f>
        <v>0</v>
      </c>
      <c r="O10" s="213">
        <f t="shared" si="1"/>
        <v>172696.62</v>
      </c>
      <c r="P10" s="323">
        <f t="shared" si="0"/>
        <v>4.117124956661166E-2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9455.91</v>
      </c>
      <c r="D11" s="201">
        <f>'1.1รวมยาทั้งหมด(1+2+3+4)'!D11+'5.vaccine'!D11</f>
        <v>19687.43</v>
      </c>
      <c r="E11" s="201">
        <f>'1.1รวมยาทั้งหมด(1+2+3+4)'!E11+'5.vaccine'!E11</f>
        <v>15386.79</v>
      </c>
      <c r="F11" s="201">
        <f>'1.1รวมยาทั้งหมด(1+2+3+4)'!F11+'5.vaccine'!F11</f>
        <v>16694.800000000003</v>
      </c>
      <c r="G11" s="201">
        <f>'1.1รวมยาทั้งหมด(1+2+3+4)'!G11+'5.vaccine'!G11</f>
        <v>21010.3</v>
      </c>
      <c r="H11" s="201">
        <f>'1.1รวมยาทั้งหมด(1+2+3+4)'!H11+'5.vaccine'!H11</f>
        <v>17059.63</v>
      </c>
      <c r="I11" s="201">
        <f>'1.1รวมยาทั้งหมด(1+2+3+4)'!I11+'5.vaccine'!I11</f>
        <v>14742.18</v>
      </c>
      <c r="J11" s="201">
        <f>'1.1รวมยาทั้งหมด(1+2+3+4)'!J11+'5.vaccine'!J11</f>
        <v>26505.339999999997</v>
      </c>
      <c r="K11" s="201">
        <f>'1.1รวมยาทั้งหมด(1+2+3+4)'!K11+'5.vaccine'!K11</f>
        <v>0</v>
      </c>
      <c r="L11" s="201">
        <f>'1.1รวมยาทั้งหมด(1+2+3+4)'!L11+'5.vaccine'!L11</f>
        <v>0</v>
      </c>
      <c r="M11" s="201">
        <f>'1.1รวมยาทั้งหมด(1+2+3+4)'!M11+'5.vaccine'!M11</f>
        <v>0</v>
      </c>
      <c r="N11" s="201">
        <f>'1.1รวมยาทั้งหมด(1+2+3+4)'!N11+'5.vaccine'!N11</f>
        <v>0</v>
      </c>
      <c r="O11" s="213">
        <f t="shared" si="1"/>
        <v>140542.38</v>
      </c>
      <c r="P11" s="323">
        <f t="shared" si="0"/>
        <v>3.3505608862904039E-2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44752.95</v>
      </c>
      <c r="D12" s="201">
        <f>'1.1รวมยาทั้งหมด(1+2+3+4)'!D12+'5.vaccine'!D12</f>
        <v>44130.619999999995</v>
      </c>
      <c r="E12" s="201">
        <f>'1.1รวมยาทั้งหมด(1+2+3+4)'!E12+'5.vaccine'!E12</f>
        <v>31878.97</v>
      </c>
      <c r="F12" s="201">
        <f>'1.1รวมยาทั้งหมด(1+2+3+4)'!F12+'5.vaccine'!F12</f>
        <v>39898.76</v>
      </c>
      <c r="G12" s="201">
        <f>'1.1รวมยาทั้งหมด(1+2+3+4)'!G12+'5.vaccine'!G12</f>
        <v>66522.14</v>
      </c>
      <c r="H12" s="201">
        <f>'1.1รวมยาทั้งหมด(1+2+3+4)'!H12+'5.vaccine'!H12</f>
        <v>43137.279999999999</v>
      </c>
      <c r="I12" s="201">
        <f>'1.1รวมยาทั้งหมด(1+2+3+4)'!I12+'5.vaccine'!I12</f>
        <v>40655.1</v>
      </c>
      <c r="J12" s="201">
        <f>'1.1รวมยาทั้งหมด(1+2+3+4)'!J12+'5.vaccine'!J12</f>
        <v>35160.660000000003</v>
      </c>
      <c r="K12" s="201">
        <f>'1.1รวมยาทั้งหมด(1+2+3+4)'!K12+'5.vaccine'!K12</f>
        <v>0</v>
      </c>
      <c r="L12" s="201">
        <f>'1.1รวมยาทั้งหมด(1+2+3+4)'!L12+'5.vaccine'!L12</f>
        <v>0</v>
      </c>
      <c r="M12" s="201">
        <f>'1.1รวมยาทั้งหมด(1+2+3+4)'!M12+'5.vaccine'!M12</f>
        <v>0</v>
      </c>
      <c r="N12" s="201">
        <f>'1.1รวมยาทั้งหมด(1+2+3+4)'!N12+'5.vaccine'!N12</f>
        <v>0</v>
      </c>
      <c r="O12" s="213">
        <f t="shared" si="1"/>
        <v>346136.48</v>
      </c>
      <c r="P12" s="323">
        <f t="shared" si="0"/>
        <v>8.2519689164666246E-2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2689.94</v>
      </c>
      <c r="D13" s="201">
        <f>'1.1รวมยาทั้งหมด(1+2+3+4)'!D13+'5.vaccine'!D13</f>
        <v>30986.959999999999</v>
      </c>
      <c r="E13" s="201">
        <f>'1.1รวมยาทั้งหมด(1+2+3+4)'!E13+'5.vaccine'!E13</f>
        <v>17783.599999999999</v>
      </c>
      <c r="F13" s="201">
        <f>'1.1รวมยาทั้งหมด(1+2+3+4)'!F13+'5.vaccine'!F13</f>
        <v>12016.28</v>
      </c>
      <c r="G13" s="201">
        <f>'1.1รวมยาทั้งหมด(1+2+3+4)'!G13+'5.vaccine'!G13</f>
        <v>20442.5</v>
      </c>
      <c r="H13" s="201">
        <f>'1.1รวมยาทั้งหมด(1+2+3+4)'!H13+'5.vaccine'!H13</f>
        <v>20729.91</v>
      </c>
      <c r="I13" s="201">
        <f>'1.1รวมยาทั้งหมด(1+2+3+4)'!I13+'5.vaccine'!I13</f>
        <v>22221.06</v>
      </c>
      <c r="J13" s="201">
        <f>'1.1รวมยาทั้งหมด(1+2+3+4)'!J13+'5.vaccine'!J13</f>
        <v>13456.75</v>
      </c>
      <c r="K13" s="201">
        <f>'1.1รวมยาทั้งหมด(1+2+3+4)'!K13+'5.vaccine'!K13</f>
        <v>0</v>
      </c>
      <c r="L13" s="201">
        <f>'1.1รวมยาทั้งหมด(1+2+3+4)'!L13+'5.vaccine'!L13</f>
        <v>0</v>
      </c>
      <c r="M13" s="201">
        <f>'1.1รวมยาทั้งหมด(1+2+3+4)'!M13+'5.vaccine'!M13</f>
        <v>0</v>
      </c>
      <c r="N13" s="201">
        <f>'1.1รวมยาทั้งหมด(1+2+3+4)'!N13+'5.vaccine'!N13</f>
        <v>0</v>
      </c>
      <c r="O13" s="213">
        <f t="shared" si="1"/>
        <v>140327</v>
      </c>
      <c r="P13" s="323">
        <f t="shared" si="0"/>
        <v>3.3454261802772486E-2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0</v>
      </c>
      <c r="D14" s="201">
        <f>'1.1รวมยาทั้งหมด(1+2+3+4)'!D14+'5.vaccine'!D14</f>
        <v>33633.599999999999</v>
      </c>
      <c r="E14" s="201">
        <f>'1.1รวมยาทั้งหมด(1+2+3+4)'!E14+'5.vaccine'!E14</f>
        <v>14652.49</v>
      </c>
      <c r="F14" s="201">
        <f>'1.1รวมยาทั้งหมด(1+2+3+4)'!F14+'5.vaccine'!F14</f>
        <v>14324.310000000001</v>
      </c>
      <c r="G14" s="201">
        <f>'1.1รวมยาทั้งหมด(1+2+3+4)'!G14+'5.vaccine'!G14</f>
        <v>15398.779999999999</v>
      </c>
      <c r="H14" s="201">
        <f>'1.1รวมยาทั้งหมด(1+2+3+4)'!H14+'5.vaccine'!H14</f>
        <v>10571.329999999998</v>
      </c>
      <c r="I14" s="201">
        <f>'1.1รวมยาทั้งหมด(1+2+3+4)'!I14+'5.vaccine'!I14</f>
        <v>23161.309999999998</v>
      </c>
      <c r="J14" s="201">
        <f>'1.1รวมยาทั้งหมด(1+2+3+4)'!J14+'5.vaccine'!J14</f>
        <v>8842.2200000000012</v>
      </c>
      <c r="K14" s="201">
        <f>'1.1รวมยาทั้งหมด(1+2+3+4)'!K14+'5.vaccine'!K14</f>
        <v>0</v>
      </c>
      <c r="L14" s="201">
        <f>'1.1รวมยาทั้งหมด(1+2+3+4)'!L14+'5.vaccine'!L14</f>
        <v>0</v>
      </c>
      <c r="M14" s="201">
        <f>'1.1รวมยาทั้งหมด(1+2+3+4)'!M14+'5.vaccine'!M14</f>
        <v>0</v>
      </c>
      <c r="N14" s="201">
        <f>'1.1รวมยาทั้งหมด(1+2+3+4)'!N14+'5.vaccine'!N14</f>
        <v>0</v>
      </c>
      <c r="O14" s="213">
        <f t="shared" si="1"/>
        <v>120584.04</v>
      </c>
      <c r="P14" s="323">
        <f t="shared" si="0"/>
        <v>2.8747497227162192E-2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26057.32</v>
      </c>
      <c r="D15" s="201">
        <f>'1.1รวมยาทั้งหมด(1+2+3+4)'!D15+'5.vaccine'!D15</f>
        <v>11777.41</v>
      </c>
      <c r="E15" s="201">
        <f>'1.1รวมยาทั้งหมด(1+2+3+4)'!E15+'5.vaccine'!E15</f>
        <v>41477.35</v>
      </c>
      <c r="F15" s="201">
        <f>'1.1รวมยาทั้งหมด(1+2+3+4)'!F15+'5.vaccine'!F15</f>
        <v>9825.92</v>
      </c>
      <c r="G15" s="201">
        <f>'1.1รวมยาทั้งหมด(1+2+3+4)'!G15+'5.vaccine'!G15</f>
        <v>23830.969999999998</v>
      </c>
      <c r="H15" s="201">
        <f>'1.1รวมยาทั้งหมด(1+2+3+4)'!H15+'5.vaccine'!H15</f>
        <v>14595.99</v>
      </c>
      <c r="I15" s="201">
        <f>'1.1รวมยาทั้งหมด(1+2+3+4)'!I15+'5.vaccine'!I15</f>
        <v>36374.33</v>
      </c>
      <c r="J15" s="201">
        <f>'1.1รวมยาทั้งหมด(1+2+3+4)'!J15+'5.vaccine'!J15</f>
        <v>12695.17</v>
      </c>
      <c r="K15" s="201">
        <f>'1.1รวมยาทั้งหมด(1+2+3+4)'!K15+'5.vaccine'!K15</f>
        <v>0</v>
      </c>
      <c r="L15" s="201">
        <f>'1.1รวมยาทั้งหมด(1+2+3+4)'!L15+'5.vaccine'!L15</f>
        <v>0</v>
      </c>
      <c r="M15" s="201">
        <f>'1.1รวมยาทั้งหมด(1+2+3+4)'!M15+'5.vaccine'!M15</f>
        <v>0</v>
      </c>
      <c r="N15" s="201">
        <f>'1.1รวมยาทั้งหมด(1+2+3+4)'!N15+'5.vaccine'!N15</f>
        <v>0</v>
      </c>
      <c r="O15" s="213">
        <f t="shared" si="1"/>
        <v>176634.46</v>
      </c>
      <c r="P15" s="323">
        <f t="shared" si="0"/>
        <v>4.2110039181564085E-2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16026.94</v>
      </c>
      <c r="D16" s="201">
        <f>'1.1รวมยาทั้งหมด(1+2+3+4)'!D16+'5.vaccine'!D16</f>
        <v>10127.23</v>
      </c>
      <c r="E16" s="201">
        <f>'1.1รวมยาทั้งหมด(1+2+3+4)'!E16+'5.vaccine'!E16</f>
        <v>12288.310000000001</v>
      </c>
      <c r="F16" s="201">
        <f>'1.1รวมยาทั้งหมด(1+2+3+4)'!F16+'5.vaccine'!F16</f>
        <v>12265.61</v>
      </c>
      <c r="G16" s="201">
        <f>'1.1รวมยาทั้งหมด(1+2+3+4)'!G16+'5.vaccine'!G16</f>
        <v>20042.04</v>
      </c>
      <c r="H16" s="201">
        <f>'1.1รวมยาทั้งหมด(1+2+3+4)'!H16+'5.vaccine'!H16</f>
        <v>13950.059999999998</v>
      </c>
      <c r="I16" s="201">
        <f>'1.1รวมยาทั้งหมด(1+2+3+4)'!I16+'5.vaccine'!I16</f>
        <v>20503.59</v>
      </c>
      <c r="J16" s="201">
        <f>'1.1รวมยาทั้งหมด(1+2+3+4)'!J16+'5.vaccine'!J16</f>
        <v>11796.4</v>
      </c>
      <c r="K16" s="201">
        <f>'1.1รวมยาทั้งหมด(1+2+3+4)'!K16+'5.vaccine'!K16</f>
        <v>0</v>
      </c>
      <c r="L16" s="201">
        <f>'1.1รวมยาทั้งหมด(1+2+3+4)'!L16+'5.vaccine'!L16</f>
        <v>0</v>
      </c>
      <c r="M16" s="201">
        <f>'1.1รวมยาทั้งหมด(1+2+3+4)'!M16+'5.vaccine'!M16</f>
        <v>0</v>
      </c>
      <c r="N16" s="201">
        <f>'1.1รวมยาทั้งหมด(1+2+3+4)'!N16+'5.vaccine'!N16</f>
        <v>0</v>
      </c>
      <c r="O16" s="213">
        <f t="shared" si="1"/>
        <v>117000.18</v>
      </c>
      <c r="P16" s="323">
        <f t="shared" si="0"/>
        <v>2.7893097213590436E-2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17473.34</v>
      </c>
      <c r="D17" s="201">
        <f>'1.1รวมยาทั้งหมด(1+2+3+4)'!D17+'5.vaccine'!D17</f>
        <v>16883.550000000003</v>
      </c>
      <c r="E17" s="201">
        <f>'1.1รวมยาทั้งหมด(1+2+3+4)'!E17+'5.vaccine'!E17</f>
        <v>8327.02</v>
      </c>
      <c r="F17" s="201">
        <f>'1.1รวมยาทั้งหมด(1+2+3+4)'!F17+'5.vaccine'!F17</f>
        <v>21779.39</v>
      </c>
      <c r="G17" s="201">
        <f>'1.1รวมยาทั้งหมด(1+2+3+4)'!G17+'5.vaccine'!G17</f>
        <v>26983.7</v>
      </c>
      <c r="H17" s="201">
        <f>'1.1รวมยาทั้งหมด(1+2+3+4)'!H17+'5.vaccine'!H17</f>
        <v>32209.589999999997</v>
      </c>
      <c r="I17" s="201">
        <f>'1.1รวมยาทั้งหมด(1+2+3+4)'!I17+'5.vaccine'!I17</f>
        <v>26083.149999999998</v>
      </c>
      <c r="J17" s="201">
        <f>'1.1รวมยาทั้งหมด(1+2+3+4)'!J17+'5.vaccine'!J17</f>
        <v>16017</v>
      </c>
      <c r="K17" s="201">
        <f>'1.1รวมยาทั้งหมด(1+2+3+4)'!K17+'5.vaccine'!K17</f>
        <v>0</v>
      </c>
      <c r="L17" s="201">
        <f>'1.1รวมยาทั้งหมด(1+2+3+4)'!L17+'5.vaccine'!L17</f>
        <v>0</v>
      </c>
      <c r="M17" s="201">
        <f>'1.1รวมยาทั้งหมด(1+2+3+4)'!M17+'5.vaccine'!M17</f>
        <v>0</v>
      </c>
      <c r="N17" s="201">
        <f>'1.1รวมยาทั้งหมด(1+2+3+4)'!N17+'5.vaccine'!N17</f>
        <v>0</v>
      </c>
      <c r="O17" s="213">
        <f t="shared" si="1"/>
        <v>165756.74</v>
      </c>
      <c r="P17" s="323">
        <f t="shared" si="0"/>
        <v>3.9516767090681693E-2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18861.63</v>
      </c>
      <c r="D18" s="201">
        <f>'1.1รวมยาทั้งหมด(1+2+3+4)'!D18+'5.vaccine'!D18</f>
        <v>11668.68</v>
      </c>
      <c r="E18" s="201">
        <f>'1.1รวมยาทั้งหมด(1+2+3+4)'!E18+'5.vaccine'!E18</f>
        <v>13272.33</v>
      </c>
      <c r="F18" s="201">
        <f>'1.1รวมยาทั้งหมด(1+2+3+4)'!F18+'5.vaccine'!F18</f>
        <v>8674.57</v>
      </c>
      <c r="G18" s="201">
        <f>'1.1รวมยาทั้งหมด(1+2+3+4)'!G18+'5.vaccine'!G18</f>
        <v>26472.14</v>
      </c>
      <c r="H18" s="201">
        <f>'1.1รวมยาทั้งหมด(1+2+3+4)'!H18+'5.vaccine'!H18</f>
        <v>5566.31</v>
      </c>
      <c r="I18" s="201">
        <f>'1.1รวมยาทั้งหมด(1+2+3+4)'!I18+'5.vaccine'!I18</f>
        <v>16235.960000000001</v>
      </c>
      <c r="J18" s="201">
        <f>'1.1รวมยาทั้งหมด(1+2+3+4)'!J18+'5.vaccine'!J18</f>
        <v>15754.57</v>
      </c>
      <c r="K18" s="201">
        <f>'1.1รวมยาทั้งหมด(1+2+3+4)'!K18+'5.vaccine'!K18</f>
        <v>0</v>
      </c>
      <c r="L18" s="201">
        <f>'1.1รวมยาทั้งหมด(1+2+3+4)'!L18+'5.vaccine'!L18</f>
        <v>0</v>
      </c>
      <c r="M18" s="201">
        <f>'1.1รวมยาทั้งหมด(1+2+3+4)'!M18+'5.vaccine'!M18</f>
        <v>0</v>
      </c>
      <c r="N18" s="201">
        <f>'1.1รวมยาทั้งหมด(1+2+3+4)'!N18+'5.vaccine'!N18</f>
        <v>0</v>
      </c>
      <c r="O18" s="213">
        <f t="shared" si="1"/>
        <v>116506.19</v>
      </c>
      <c r="P18" s="323">
        <f t="shared" si="0"/>
        <v>2.7775328923895996E-2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59912.6</v>
      </c>
      <c r="D19" s="201">
        <f>'1.1รวมยาทั้งหมด(1+2+3+4)'!D19+'5.vaccine'!D19</f>
        <v>32228.87</v>
      </c>
      <c r="E19" s="201">
        <f>'1.1รวมยาทั้งหมด(1+2+3+4)'!E19+'5.vaccine'!E19</f>
        <v>27042.18</v>
      </c>
      <c r="F19" s="201">
        <f>'1.1รวมยาทั้งหมด(1+2+3+4)'!F19+'5.vaccine'!F19</f>
        <v>23987.940000000002</v>
      </c>
      <c r="G19" s="201">
        <f>'1.1รวมยาทั้งหมด(1+2+3+4)'!G19+'5.vaccine'!G19</f>
        <v>18015.7</v>
      </c>
      <c r="H19" s="201">
        <f>'1.1รวมยาทั้งหมด(1+2+3+4)'!H19+'5.vaccine'!H19</f>
        <v>69503.45</v>
      </c>
      <c r="I19" s="201">
        <f>'1.1รวมยาทั้งหมด(1+2+3+4)'!I19+'5.vaccine'!I19</f>
        <v>26279.96</v>
      </c>
      <c r="J19" s="201">
        <f>'1.1รวมยาทั้งหมด(1+2+3+4)'!J19+'5.vaccine'!J19</f>
        <v>22289.42</v>
      </c>
      <c r="K19" s="201">
        <f>'1.1รวมยาทั้งหมด(1+2+3+4)'!K19+'5.vaccine'!K19</f>
        <v>0</v>
      </c>
      <c r="L19" s="201">
        <f>'1.1รวมยาทั้งหมด(1+2+3+4)'!L19+'5.vaccine'!L19</f>
        <v>0</v>
      </c>
      <c r="M19" s="201">
        <f>'1.1รวมยาทั้งหมด(1+2+3+4)'!M19+'5.vaccine'!M19</f>
        <v>0</v>
      </c>
      <c r="N19" s="201">
        <f>'1.1รวมยาทั้งหมด(1+2+3+4)'!N19+'5.vaccine'!N19</f>
        <v>0</v>
      </c>
      <c r="O19" s="213">
        <f t="shared" si="1"/>
        <v>279260.12</v>
      </c>
      <c r="P19" s="323">
        <f t="shared" si="0"/>
        <v>6.6576219583926538E-2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0</v>
      </c>
      <c r="D20" s="201">
        <f>'1.1รวมยาทั้งหมด(1+2+3+4)'!D20+'5.vaccine'!D20</f>
        <v>37556.269999999997</v>
      </c>
      <c r="E20" s="201">
        <f>'1.1รวมยาทั้งหมด(1+2+3+4)'!E20+'5.vaccine'!E20</f>
        <v>10720.05</v>
      </c>
      <c r="F20" s="201">
        <f>'1.1รวมยาทั้งหมด(1+2+3+4)'!F20+'5.vaccine'!F20</f>
        <v>8625.16</v>
      </c>
      <c r="G20" s="201">
        <f>'1.1รวมยาทั้งหมด(1+2+3+4)'!G20+'5.vaccine'!G20</f>
        <v>16723.150000000001</v>
      </c>
      <c r="H20" s="201">
        <f>'1.1รวมยาทั้งหมด(1+2+3+4)'!H20+'5.vaccine'!H20</f>
        <v>10510.14</v>
      </c>
      <c r="I20" s="201">
        <f>'1.1รวมยาทั้งหมด(1+2+3+4)'!I20+'5.vaccine'!I20</f>
        <v>17266.73</v>
      </c>
      <c r="J20" s="201">
        <f>'1.1รวมยาทั้งหมด(1+2+3+4)'!J20+'5.vaccine'!J20</f>
        <v>16390.219999999998</v>
      </c>
      <c r="K20" s="201">
        <f>'1.1รวมยาทั้งหมด(1+2+3+4)'!K20+'5.vaccine'!K20</f>
        <v>0</v>
      </c>
      <c r="L20" s="201">
        <f>'1.1รวมยาทั้งหมด(1+2+3+4)'!L20+'5.vaccine'!L20</f>
        <v>0</v>
      </c>
      <c r="M20" s="201">
        <f>'1.1รวมยาทั้งหมด(1+2+3+4)'!M20+'5.vaccine'!M20</f>
        <v>0</v>
      </c>
      <c r="N20" s="201">
        <f>'1.1รวมยาทั้งหมด(1+2+3+4)'!N20+'5.vaccine'!N20</f>
        <v>0</v>
      </c>
      <c r="O20" s="213">
        <f t="shared" si="1"/>
        <v>117791.72</v>
      </c>
      <c r="P20" s="323">
        <f t="shared" si="0"/>
        <v>2.8081802070014122E-2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33058.630000000005</v>
      </c>
      <c r="D21" s="201">
        <f>'1.1รวมยาทั้งหมด(1+2+3+4)'!D21+'5.vaccine'!D21</f>
        <v>26182.42</v>
      </c>
      <c r="E21" s="201">
        <f>'1.1รวมยาทั้งหมด(1+2+3+4)'!E21+'5.vaccine'!E21</f>
        <v>20297.11</v>
      </c>
      <c r="F21" s="201">
        <f>'1.1รวมยาทั้งหมด(1+2+3+4)'!F21+'5.vaccine'!F21</f>
        <v>26261.03</v>
      </c>
      <c r="G21" s="201">
        <f>'1.1รวมยาทั้งหมด(1+2+3+4)'!G21+'5.vaccine'!G21</f>
        <v>26280.11</v>
      </c>
      <c r="H21" s="201">
        <f>'1.1รวมยาทั้งหมด(1+2+3+4)'!H21+'5.vaccine'!H21</f>
        <v>29800.86</v>
      </c>
      <c r="I21" s="201">
        <f>'1.1รวมยาทั้งหมด(1+2+3+4)'!I21+'5.vaccine'!I21</f>
        <v>32554.129999999997</v>
      </c>
      <c r="J21" s="201">
        <f>'1.1รวมยาทั้งหมด(1+2+3+4)'!J21+'5.vaccine'!J21</f>
        <v>27415.329999999998</v>
      </c>
      <c r="K21" s="201">
        <f>'1.1รวมยาทั้งหมด(1+2+3+4)'!K21+'5.vaccine'!K21</f>
        <v>0</v>
      </c>
      <c r="L21" s="201">
        <f>'1.1รวมยาทั้งหมด(1+2+3+4)'!L21+'5.vaccine'!L21</f>
        <v>0</v>
      </c>
      <c r="M21" s="201">
        <f>'1.1รวมยาทั้งหมด(1+2+3+4)'!M21+'5.vaccine'!M21</f>
        <v>0</v>
      </c>
      <c r="N21" s="201">
        <f>'1.1รวมยาทั้งหมด(1+2+3+4)'!N21+'5.vaccine'!N21</f>
        <v>0</v>
      </c>
      <c r="O21" s="213">
        <f t="shared" si="1"/>
        <v>221849.61999999997</v>
      </c>
      <c r="P21" s="323">
        <f t="shared" si="0"/>
        <v>5.2889431601371009E-2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13334.7</v>
      </c>
      <c r="D22" s="201">
        <f>'1.1รวมยาทั้งหมด(1+2+3+4)'!D22+'5.vaccine'!D22</f>
        <v>30631.25</v>
      </c>
      <c r="E22" s="201">
        <f>'1.1รวมยาทั้งหมด(1+2+3+4)'!E22+'5.vaccine'!E22</f>
        <v>4483.97</v>
      </c>
      <c r="F22" s="201">
        <f>'1.1รวมยาทั้งหมด(1+2+3+4)'!F22+'5.vaccine'!F22</f>
        <v>17405.54</v>
      </c>
      <c r="G22" s="201">
        <f>'1.1รวมยาทั้งหมด(1+2+3+4)'!G22+'5.vaccine'!G22</f>
        <v>15450.54</v>
      </c>
      <c r="H22" s="201">
        <f>'1.1รวมยาทั้งหมด(1+2+3+4)'!H22+'5.vaccine'!H22</f>
        <v>14042.25</v>
      </c>
      <c r="I22" s="201">
        <f>'1.1รวมยาทั้งหมด(1+2+3+4)'!I22+'5.vaccine'!I22</f>
        <v>21253.48</v>
      </c>
      <c r="J22" s="201">
        <f>'1.1รวมยาทั้งหมด(1+2+3+4)'!J22+'5.vaccine'!J22</f>
        <v>8326.18</v>
      </c>
      <c r="K22" s="201">
        <f>'1.1รวมยาทั้งหมด(1+2+3+4)'!K22+'5.vaccine'!K22</f>
        <v>0</v>
      </c>
      <c r="L22" s="201">
        <f>'1.1รวมยาทั้งหมด(1+2+3+4)'!L22+'5.vaccine'!L22</f>
        <v>0</v>
      </c>
      <c r="M22" s="201">
        <f>'1.1รวมยาทั้งหมด(1+2+3+4)'!M22+'5.vaccine'!M22</f>
        <v>0</v>
      </c>
      <c r="N22" s="201">
        <f>'1.1รวมยาทั้งหมด(1+2+3+4)'!N22+'5.vaccine'!N22</f>
        <v>0</v>
      </c>
      <c r="O22" s="213">
        <f t="shared" si="1"/>
        <v>124927.91</v>
      </c>
      <c r="P22" s="323">
        <f t="shared" si="0"/>
        <v>2.9783085276626726E-2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463810.27000000008</v>
      </c>
      <c r="D23" s="212">
        <f t="shared" ref="D23:O23" si="2">SUM(D5:D22)</f>
        <v>594130.89999999991</v>
      </c>
      <c r="E23" s="212">
        <f t="shared" si="2"/>
        <v>525808.33999999985</v>
      </c>
      <c r="F23" s="212">
        <f t="shared" si="2"/>
        <v>430263.34</v>
      </c>
      <c r="G23" s="212">
        <f t="shared" si="2"/>
        <v>605269.18000000005</v>
      </c>
      <c r="H23" s="212">
        <f t="shared" si="2"/>
        <v>494968.14</v>
      </c>
      <c r="I23" s="212">
        <f t="shared" si="2"/>
        <v>630869.29999999993</v>
      </c>
      <c r="J23" s="212">
        <f t="shared" si="2"/>
        <v>449473.16</v>
      </c>
      <c r="K23" s="212">
        <f t="shared" si="2"/>
        <v>0</v>
      </c>
      <c r="L23" s="212">
        <f t="shared" si="2"/>
        <v>0</v>
      </c>
      <c r="M23" s="212">
        <f t="shared" si="2"/>
        <v>0</v>
      </c>
      <c r="N23" s="212">
        <f t="shared" si="2"/>
        <v>0</v>
      </c>
      <c r="O23" s="212">
        <f t="shared" si="2"/>
        <v>4194592.6300000008</v>
      </c>
      <c r="P23" s="324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23408.81</v>
      </c>
      <c r="D24" s="200">
        <f>'1.1รวมยาทั้งหมด(1+2+3+4)'!D24+'5.vaccine'!D24</f>
        <v>15855.72</v>
      </c>
      <c r="E24" s="200">
        <f>'1.1รวมยาทั้งหมด(1+2+3+4)'!E24+'5.vaccine'!E24</f>
        <v>85987.41</v>
      </c>
      <c r="F24" s="200">
        <f>'1.1รวมยาทั้งหมด(1+2+3+4)'!F24+'5.vaccine'!F24</f>
        <v>57549.58</v>
      </c>
      <c r="G24" s="200">
        <f>'1.1รวมยาทั้งหมด(1+2+3+4)'!G24+'5.vaccine'!G24</f>
        <v>45929</v>
      </c>
      <c r="H24" s="200">
        <f>'1.1รวมยาทั้งหมด(1+2+3+4)'!H24+'5.vaccine'!H24</f>
        <v>26684.62</v>
      </c>
      <c r="I24" s="200">
        <f>'1.1รวมยาทั้งหมด(1+2+3+4)'!I24+'5.vaccine'!I24</f>
        <v>38680.400000000001</v>
      </c>
      <c r="J24" s="200">
        <f>'1.1รวมยาทั้งหมด(1+2+3+4)'!J24+'5.vaccine'!J24</f>
        <v>44846.94</v>
      </c>
      <c r="K24" s="200">
        <f>'1.1รวมยาทั้งหมด(1+2+3+4)'!K24+'5.vaccine'!K24</f>
        <v>0</v>
      </c>
      <c r="L24" s="200">
        <f>'1.1รวมยาทั้งหมด(1+2+3+4)'!L24+'5.vaccine'!L24</f>
        <v>0</v>
      </c>
      <c r="M24" s="200">
        <f>'1.1รวมยาทั้งหมด(1+2+3+4)'!M24+'5.vaccine'!M24</f>
        <v>0</v>
      </c>
      <c r="N24" s="200">
        <f>'1.1รวมยาทั้งหมด(1+2+3+4)'!N24+'5.vaccine'!N24</f>
        <v>0</v>
      </c>
      <c r="O24" s="213">
        <f t="shared" ref="O24:O27" si="3">SUM(C24:N24)</f>
        <v>338942.48000000004</v>
      </c>
      <c r="P24" s="323">
        <f t="shared" si="0"/>
        <v>8.0804623928402791E-2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3">
        <f t="shared" si="0"/>
        <v>0</v>
      </c>
    </row>
    <row r="26" spans="1:16" s="48" customFormat="1" ht="18" customHeight="1" x14ac:dyDescent="0.2">
      <c r="A26" s="49" t="s">
        <v>69</v>
      </c>
      <c r="B26" s="50" t="s">
        <v>23</v>
      </c>
      <c r="C26" s="214">
        <f>SUM(C24:C25)</f>
        <v>23408.81</v>
      </c>
      <c r="D26" s="214">
        <f t="shared" ref="D26:N26" si="4">SUM(D24:D25)</f>
        <v>15855.72</v>
      </c>
      <c r="E26" s="214">
        <f t="shared" si="4"/>
        <v>85987.41</v>
      </c>
      <c r="F26" s="214">
        <f t="shared" si="4"/>
        <v>57549.58</v>
      </c>
      <c r="G26" s="214">
        <f t="shared" si="4"/>
        <v>45929</v>
      </c>
      <c r="H26" s="214">
        <f t="shared" si="4"/>
        <v>26684.62</v>
      </c>
      <c r="I26" s="214">
        <f t="shared" si="4"/>
        <v>38680.400000000001</v>
      </c>
      <c r="J26" s="214">
        <f t="shared" si="4"/>
        <v>44846.94</v>
      </c>
      <c r="K26" s="214">
        <f t="shared" si="4"/>
        <v>0</v>
      </c>
      <c r="L26" s="214">
        <f t="shared" si="4"/>
        <v>0</v>
      </c>
      <c r="M26" s="214">
        <f t="shared" si="4"/>
        <v>0</v>
      </c>
      <c r="N26" s="214">
        <f t="shared" si="4"/>
        <v>0</v>
      </c>
      <c r="O26" s="215">
        <f t="shared" si="3"/>
        <v>338942.48000000004</v>
      </c>
      <c r="P26" s="325">
        <f t="shared" si="0"/>
        <v>8.0804623928402791E-2</v>
      </c>
    </row>
    <row r="27" spans="1:16" s="55" customFormat="1" ht="18" customHeight="1" x14ac:dyDescent="0.2">
      <c r="A27" s="202" t="s">
        <v>66</v>
      </c>
      <c r="B27" s="216" t="s">
        <v>25</v>
      </c>
      <c r="C27" s="217">
        <f>C23+C26</f>
        <v>487219.08000000007</v>
      </c>
      <c r="D27" s="217">
        <f t="shared" ref="D27:N27" si="5">D23+D26</f>
        <v>609986.61999999988</v>
      </c>
      <c r="E27" s="217">
        <f t="shared" si="5"/>
        <v>611795.74999999988</v>
      </c>
      <c r="F27" s="217">
        <f t="shared" si="5"/>
        <v>487812.92000000004</v>
      </c>
      <c r="G27" s="217">
        <f t="shared" si="5"/>
        <v>651198.18000000005</v>
      </c>
      <c r="H27" s="217">
        <f t="shared" si="5"/>
        <v>521652.76</v>
      </c>
      <c r="I27" s="217">
        <f t="shared" si="5"/>
        <v>669549.69999999995</v>
      </c>
      <c r="J27" s="217">
        <f t="shared" si="5"/>
        <v>494320.1</v>
      </c>
      <c r="K27" s="217">
        <f t="shared" si="5"/>
        <v>0</v>
      </c>
      <c r="L27" s="217">
        <f t="shared" si="5"/>
        <v>0</v>
      </c>
      <c r="M27" s="217">
        <f t="shared" si="5"/>
        <v>0</v>
      </c>
      <c r="N27" s="217">
        <f t="shared" si="5"/>
        <v>0</v>
      </c>
      <c r="O27" s="218">
        <f t="shared" si="3"/>
        <v>4533535.1099999994</v>
      </c>
      <c r="P27" s="326">
        <f t="shared" si="0"/>
        <v>1.0808046239284024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3" t="s">
        <v>72</v>
      </c>
      <c r="H30" s="363"/>
      <c r="I30" s="363"/>
      <c r="J30" s="3"/>
      <c r="K30" s="3"/>
      <c r="L30" s="363" t="s">
        <v>49</v>
      </c>
      <c r="M30" s="363"/>
      <c r="N30" s="363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5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2563</v>
      </c>
      <c r="L1" s="161"/>
      <c r="M1" s="161"/>
      <c r="N1" s="161"/>
      <c r="O1" s="161"/>
      <c r="P1" s="314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27/5/64</v>
      </c>
      <c r="O2" s="164"/>
      <c r="P2" s="314"/>
      <c r="Q2" s="143"/>
    </row>
    <row r="3" spans="1:17" s="206" customFormat="1" ht="5.25" customHeight="1" x14ac:dyDescent="0.45">
      <c r="A3" s="166"/>
      <c r="B3" s="219"/>
      <c r="O3" s="166"/>
      <c r="P3" s="319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0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79211.58</v>
      </c>
      <c r="D5" s="183">
        <f>'1.1รวมยาทั้งหมด(1+2+3+4)'!D5+'2.รวมวชย ทุกประเภท'!D5</f>
        <v>69785.08</v>
      </c>
      <c r="E5" s="183">
        <f>'1.1รวมยาทั้งหมด(1+2+3+4)'!E5+'2.รวมวชย ทุกประเภท'!E5</f>
        <v>83881.3</v>
      </c>
      <c r="F5" s="183">
        <f>'1.1รวมยาทั้งหมด(1+2+3+4)'!F5+'2.รวมวชย ทุกประเภท'!F5</f>
        <v>84523.89</v>
      </c>
      <c r="G5" s="183">
        <f>'1.1รวมยาทั้งหมด(1+2+3+4)'!G5+'2.รวมวชย ทุกประเภท'!G5</f>
        <v>79412.52</v>
      </c>
      <c r="H5" s="183">
        <f>'1.1รวมยาทั้งหมด(1+2+3+4)'!H5+'2.รวมวชย ทุกประเภท'!H5</f>
        <v>58627.899999999994</v>
      </c>
      <c r="I5" s="183">
        <f>'1.1รวมยาทั้งหมด(1+2+3+4)'!I5+'2.รวมวชย ทุกประเภท'!I5</f>
        <v>132520.5</v>
      </c>
      <c r="J5" s="183">
        <f>'1.1รวมยาทั้งหมด(1+2+3+4)'!J5+'2.รวมวชย ทุกประเภท'!J5</f>
        <v>75411.83</v>
      </c>
      <c r="K5" s="183">
        <f>'1.1รวมยาทั้งหมด(1+2+3+4)'!K5+'2.รวมวชย ทุกประเภท'!K5</f>
        <v>0</v>
      </c>
      <c r="L5" s="183">
        <f>'1.1รวมยาทั้งหมด(1+2+3+4)'!L5+'2.รวมวชย ทุกประเภท'!L5</f>
        <v>0</v>
      </c>
      <c r="M5" s="183">
        <f>'1.1รวมยาทั้งหมด(1+2+3+4)'!M5+'2.รวมวชย ทุกประเภท'!M5</f>
        <v>0</v>
      </c>
      <c r="N5" s="183">
        <f>'1.1รวมยาทั้งหมด(1+2+3+4)'!N5+'2.รวมวชย ทุกประเภท'!N5</f>
        <v>0</v>
      </c>
      <c r="O5" s="221">
        <f>SUM(C5:N5)</f>
        <v>663374.6</v>
      </c>
      <c r="P5" s="312">
        <f t="shared" ref="P5:P27" si="0">O5/$O$23</f>
        <v>0.20387591873758981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46682.400000000001</v>
      </c>
      <c r="D6" s="183">
        <f>'1.1รวมยาทั้งหมด(1+2+3+4)'!D6+'2.รวมวชย ทุกประเภท'!D6</f>
        <v>37721.65</v>
      </c>
      <c r="E6" s="183">
        <f>'1.1รวมยาทั้งหมด(1+2+3+4)'!E6+'2.รวมวชย ทุกประเภท'!E6</f>
        <v>51572</v>
      </c>
      <c r="F6" s="183">
        <f>'1.1รวมยาทั้งหมด(1+2+3+4)'!F6+'2.รวมวชย ทุกประเภท'!F6</f>
        <v>34116.44</v>
      </c>
      <c r="G6" s="183">
        <f>'1.1รวมยาทั้งหมด(1+2+3+4)'!G6+'2.รวมวชย ทุกประเภท'!G6</f>
        <v>42542.17</v>
      </c>
      <c r="H6" s="183">
        <f>'1.1รวมยาทั้งหมด(1+2+3+4)'!H6+'2.รวมวชย ทุกประเภท'!H6</f>
        <v>58032.25</v>
      </c>
      <c r="I6" s="183">
        <f>'1.1รวมยาทั้งหมด(1+2+3+4)'!I6+'2.รวมวชย ทุกประเภท'!I6</f>
        <v>55258.649999999994</v>
      </c>
      <c r="J6" s="183">
        <f>'1.1รวมยาทั้งหมด(1+2+3+4)'!J6+'2.รวมวชย ทุกประเภท'!J6</f>
        <v>46414.39</v>
      </c>
      <c r="K6" s="183">
        <f>'1.1รวมยาทั้งหมด(1+2+3+4)'!K6+'2.รวมวชย ทุกประเภท'!K6</f>
        <v>0</v>
      </c>
      <c r="L6" s="183">
        <f>'1.1รวมยาทั้งหมด(1+2+3+4)'!L6+'2.รวมวชย ทุกประเภท'!L6</f>
        <v>0</v>
      </c>
      <c r="M6" s="183">
        <f>'1.1รวมยาทั้งหมด(1+2+3+4)'!M6+'2.รวมวชย ทุกประเภท'!M6</f>
        <v>0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372339.94999999995</v>
      </c>
      <c r="P6" s="312">
        <f t="shared" si="0"/>
        <v>0.11443179975380162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27500.440000000002</v>
      </c>
      <c r="D7" s="183">
        <f>'1.1รวมยาทั้งหมด(1+2+3+4)'!D7+'2.รวมวชย ทุกประเภท'!D7</f>
        <v>20089.77</v>
      </c>
      <c r="E7" s="183">
        <f>'1.1รวมยาทั้งหมด(1+2+3+4)'!E7+'2.รวมวชย ทุกประเภท'!E7</f>
        <v>12002.65</v>
      </c>
      <c r="F7" s="183">
        <f>'1.1รวมยาทั้งหมด(1+2+3+4)'!F7+'2.รวมวชย ทุกประเภท'!F7</f>
        <v>17389.5</v>
      </c>
      <c r="G7" s="183">
        <f>'1.1รวมยาทั้งหมด(1+2+3+4)'!G7+'2.รวมวชย ทุกประเภท'!G7</f>
        <v>16766.5</v>
      </c>
      <c r="H7" s="183">
        <f>'1.1รวมยาทั้งหมด(1+2+3+4)'!H7+'2.รวมวชย ทุกประเภท'!H7</f>
        <v>14015.24</v>
      </c>
      <c r="I7" s="183">
        <f>'1.1รวมยาทั้งหมด(1+2+3+4)'!I7+'2.รวมวชย ทุกประเภท'!I7</f>
        <v>17874.5</v>
      </c>
      <c r="J7" s="183">
        <f>'1.1รวมยาทั้งหมด(1+2+3+4)'!J7+'2.รวมวชย ทุกประเภท'!J7</f>
        <v>25201.760000000002</v>
      </c>
      <c r="K7" s="183">
        <f>'1.1รวมยาทั้งหมด(1+2+3+4)'!K7+'2.รวมวชย ทุกประเภท'!K7</f>
        <v>0</v>
      </c>
      <c r="L7" s="183">
        <f>'1.1รวมยาทั้งหมด(1+2+3+4)'!L7+'2.รวมวชย ทุกประเภท'!L7</f>
        <v>0</v>
      </c>
      <c r="M7" s="183">
        <f>'1.1รวมยาทั้งหมด(1+2+3+4)'!M7+'2.รวมวชย ทุกประเภท'!M7</f>
        <v>0</v>
      </c>
      <c r="N7" s="183">
        <f>'1.1รวมยาทั้งหมด(1+2+3+4)'!N7+'2.รวมวชย ทุกประเภท'!N7</f>
        <v>0</v>
      </c>
      <c r="O7" s="221">
        <f t="shared" si="1"/>
        <v>150840.36000000002</v>
      </c>
      <c r="P7" s="312">
        <f t="shared" si="0"/>
        <v>4.6357995886048088E-2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2700</v>
      </c>
      <c r="D8" s="183">
        <f>'1.1รวมยาทั้งหมด(1+2+3+4)'!D8+'2.รวมวชย ทุกประเภท'!D8</f>
        <v>56356.95</v>
      </c>
      <c r="E8" s="183">
        <f>'1.1รวมยาทั้งหมด(1+2+3+4)'!E8+'2.รวมวชย ทุกประเภท'!E8</f>
        <v>64565.8</v>
      </c>
      <c r="F8" s="183">
        <f>'1.1รวมยาทั้งหมด(1+2+3+4)'!F8+'2.รวมวชย ทุกประเภท'!F8</f>
        <v>6444</v>
      </c>
      <c r="G8" s="183">
        <f>'1.1รวมยาทั้งหมด(1+2+3+4)'!G8+'2.รวมวชย ทุกประเภท'!G8</f>
        <v>85350.98</v>
      </c>
      <c r="H8" s="183">
        <f>'1.1รวมยาทั้งหมด(1+2+3+4)'!H8+'2.รวมวชย ทุกประเภท'!H8</f>
        <v>35993.199999999997</v>
      </c>
      <c r="I8" s="183">
        <f>'1.1รวมยาทั้งหมด(1+2+3+4)'!I8+'2.รวมวชย ทุกประเภท'!I8</f>
        <v>24886.1</v>
      </c>
      <c r="J8" s="183">
        <f>'1.1รวมยาทั้งหมด(1+2+3+4)'!J8+'2.รวมวชย ทุกประเภท'!J8</f>
        <v>6982</v>
      </c>
      <c r="K8" s="183">
        <f>'1.1รวมยาทั้งหมด(1+2+3+4)'!K8+'2.รวมวชย ทุกประเภท'!K8</f>
        <v>0</v>
      </c>
      <c r="L8" s="183">
        <f>'1.1รวมยาทั้งหมด(1+2+3+4)'!L8+'2.รวมวชย ทุกประเภท'!L8</f>
        <v>0</v>
      </c>
      <c r="M8" s="183">
        <f>'1.1รวมยาทั้งหมด(1+2+3+4)'!M8+'2.รวมวชย ทุกประเภท'!M8</f>
        <v>0</v>
      </c>
      <c r="N8" s="183">
        <f>'1.1รวมยาทั้งหมด(1+2+3+4)'!N8+'2.รวมวชย ทุกประเภท'!N8</f>
        <v>0</v>
      </c>
      <c r="O8" s="221">
        <f t="shared" si="1"/>
        <v>283279.02999999997</v>
      </c>
      <c r="P8" s="312">
        <f t="shared" si="0"/>
        <v>8.7060572563892644E-2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9201.119999999999</v>
      </c>
      <c r="D9" s="183">
        <f>'1.1รวมยาทั้งหมด(1+2+3+4)'!D9+'2.รวมวชย ทุกประเภท'!D9</f>
        <v>26251.809999999998</v>
      </c>
      <c r="E9" s="183">
        <f>'1.1รวมยาทั้งหมด(1+2+3+4)'!E9+'2.รวมวชย ทุกประเภท'!E9</f>
        <v>23945.68</v>
      </c>
      <c r="F9" s="183">
        <f>'1.1รวมยาทั้งหมด(1+2+3+4)'!F9+'2.รวมวชย ทุกประเภท'!F9</f>
        <v>19703.5</v>
      </c>
      <c r="G9" s="183">
        <f>'1.1รวมยาทั้งหมด(1+2+3+4)'!G9+'2.รวมวชย ทุกประเภท'!G9</f>
        <v>7169.66</v>
      </c>
      <c r="H9" s="183">
        <f>'1.1รวมยาทั้งหมด(1+2+3+4)'!H9+'2.รวมวชย ทุกประเภท'!H9</f>
        <v>8465</v>
      </c>
      <c r="I9" s="183">
        <f>'1.1รวมยาทั้งหมด(1+2+3+4)'!I9+'2.รวมวชย ทุกประเภท'!I9</f>
        <v>19061</v>
      </c>
      <c r="J9" s="183">
        <f>'1.1รวมยาทั้งหมด(1+2+3+4)'!J9+'2.รวมวชย ทุกประเภท'!J9</f>
        <v>17882.560000000001</v>
      </c>
      <c r="K9" s="183">
        <f>'1.1รวมยาทั้งหมด(1+2+3+4)'!K9+'2.รวมวชย ทุกประเภท'!K9</f>
        <v>0</v>
      </c>
      <c r="L9" s="183">
        <f>'1.1รวมยาทั้งหมด(1+2+3+4)'!L9+'2.รวมวชย ทุกประเภท'!L9</f>
        <v>0</v>
      </c>
      <c r="M9" s="183">
        <f>'1.1รวมยาทั้งหมด(1+2+3+4)'!M9+'2.รวมวชย ทุกประเภท'!M9</f>
        <v>0</v>
      </c>
      <c r="N9" s="183">
        <f>'1.1รวมยาทั้งหมด(1+2+3+4)'!N9+'2.รวมวชย ทุกประเภท'!N9</f>
        <v>0</v>
      </c>
      <c r="O9" s="221">
        <f t="shared" si="1"/>
        <v>131680.32999999999</v>
      </c>
      <c r="P9" s="312">
        <f t="shared" si="0"/>
        <v>4.0469514899152015E-2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11786.29</v>
      </c>
      <c r="D10" s="183">
        <f>'1.1รวมยาทั้งหมด(1+2+3+4)'!D10+'2.รวมวชย ทุกประเภท'!D10</f>
        <v>25912.05</v>
      </c>
      <c r="E10" s="183">
        <f>'1.1รวมยาทั้งหมด(1+2+3+4)'!E10+'2.รวมวชย ทุกประเภท'!E10</f>
        <v>9521</v>
      </c>
      <c r="F10" s="183">
        <f>'1.1รวมยาทั้งหมด(1+2+3+4)'!F10+'2.รวมวชย ทุกประเภท'!F10</f>
        <v>9385.67</v>
      </c>
      <c r="G10" s="183">
        <f>'1.1รวมยาทั้งหมด(1+2+3+4)'!G10+'2.รวมวชย ทุกประเภท'!G10</f>
        <v>7731.6</v>
      </c>
      <c r="H10" s="183">
        <f>'1.1รวมยาทั้งหมด(1+2+3+4)'!H10+'2.รวมวชย ทุกประเภท'!H10</f>
        <v>10625.6</v>
      </c>
      <c r="I10" s="183">
        <f>'1.1รวมยาทั้งหมด(1+2+3+4)'!I10+'2.รวมวชย ทุกประเภท'!I10</f>
        <v>26174.43</v>
      </c>
      <c r="J10" s="183">
        <f>'1.1รวมยาทั้งหมด(1+2+3+4)'!J10+'2.รวมวชย ทุกประเภท'!J10</f>
        <v>21301.16</v>
      </c>
      <c r="K10" s="183">
        <f>'1.1รวมยาทั้งหมด(1+2+3+4)'!K10+'2.รวมวชย ทุกประเภท'!K10</f>
        <v>0</v>
      </c>
      <c r="L10" s="183">
        <f>'1.1รวมยาทั้งหมด(1+2+3+4)'!L10+'2.รวมวชย ทุกประเภท'!L10</f>
        <v>0</v>
      </c>
      <c r="M10" s="183">
        <f>'1.1รวมยาทั้งหมด(1+2+3+4)'!M10+'2.รวมวชย ทุกประเภท'!M10</f>
        <v>0</v>
      </c>
      <c r="N10" s="183">
        <f>'1.1รวมยาทั้งหมด(1+2+3+4)'!N10+'2.รวมวชย ทุกประเภท'!N10</f>
        <v>0</v>
      </c>
      <c r="O10" s="221">
        <f t="shared" si="1"/>
        <v>122437.79999999999</v>
      </c>
      <c r="P10" s="312">
        <f t="shared" si="0"/>
        <v>3.7628994180979002E-2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3899</v>
      </c>
      <c r="D11" s="183">
        <f>'1.1รวมยาทั้งหมด(1+2+3+4)'!D11+'2.รวมวชย ทุกประเภท'!D11</f>
        <v>15740.26</v>
      </c>
      <c r="E11" s="183">
        <f>'1.1รวมยาทั้งหมด(1+2+3+4)'!E11+'2.รวมวชย ทุกประเภท'!E11</f>
        <v>13246.630000000001</v>
      </c>
      <c r="F11" s="183">
        <f>'1.1รวมยาทั้งหมด(1+2+3+4)'!F11+'2.รวมวชย ทุกประเภท'!F11</f>
        <v>9254.880000000001</v>
      </c>
      <c r="G11" s="183">
        <f>'1.1รวมยาทั้งหมด(1+2+3+4)'!G11+'2.รวมวชย ทุกประเภท'!G11</f>
        <v>15465.47</v>
      </c>
      <c r="H11" s="183">
        <f>'1.1รวมยาทั้งหมด(1+2+3+4)'!H11+'2.รวมวชย ทุกประเภท'!H11</f>
        <v>10298.25</v>
      </c>
      <c r="I11" s="183">
        <f>'1.1รวมยาทั้งหมด(1+2+3+4)'!I11+'2.รวมวชย ทุกประเภท'!I11</f>
        <v>12172.5</v>
      </c>
      <c r="J11" s="183">
        <f>'1.1รวมยาทั้งหมด(1+2+3+4)'!J11+'2.รวมวชย ทุกประเภท'!J11</f>
        <v>21459.1</v>
      </c>
      <c r="K11" s="183">
        <f>'1.1รวมยาทั้งหมด(1+2+3+4)'!K11+'2.รวมวชย ทุกประเภท'!K11</f>
        <v>0</v>
      </c>
      <c r="L11" s="183">
        <f>'1.1รวมยาทั้งหมด(1+2+3+4)'!L11+'2.รวมวชย ทุกประเภท'!L11</f>
        <v>0</v>
      </c>
      <c r="M11" s="183">
        <f>'1.1รวมยาทั้งหมด(1+2+3+4)'!M11+'2.รวมวชย ทุกประเภท'!M11</f>
        <v>0</v>
      </c>
      <c r="N11" s="183">
        <f>'1.1รวมยาทั้งหมด(1+2+3+4)'!N11+'2.รวมวชย ทุกประเภท'!N11</f>
        <v>0</v>
      </c>
      <c r="O11" s="221">
        <f t="shared" si="1"/>
        <v>101536.09</v>
      </c>
      <c r="P11" s="312">
        <f t="shared" si="0"/>
        <v>3.120524004653269E-2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32993</v>
      </c>
      <c r="D12" s="183">
        <f>'1.1รวมยาทั้งหมด(1+2+3+4)'!D12+'2.รวมวชย ทุกประเภท'!D12</f>
        <v>34748.729999999996</v>
      </c>
      <c r="E12" s="183">
        <f>'1.1รวมยาทั้งหมด(1+2+3+4)'!E12+'2.รวมวชย ทุกประเภท'!E12</f>
        <v>31878.97</v>
      </c>
      <c r="F12" s="183">
        <f>'1.1รวมยาทั้งหมด(1+2+3+4)'!F12+'2.รวมวชย ทุกประเภท'!F12</f>
        <v>25768.22</v>
      </c>
      <c r="G12" s="183">
        <f>'1.1รวมยาทั้งหมด(1+2+3+4)'!G12+'2.รวมวชย ทุกประเภท'!G12</f>
        <v>52608.93</v>
      </c>
      <c r="H12" s="183">
        <f>'1.1รวมยาทั้งหมด(1+2+3+4)'!H12+'2.รวมวชย ทุกประเภท'!H12</f>
        <v>42611.74</v>
      </c>
      <c r="I12" s="183">
        <f>'1.1รวมยาทั้งหมด(1+2+3+4)'!I12+'2.รวมวชย ทุกประเภท'!I12</f>
        <v>29627.5</v>
      </c>
      <c r="J12" s="183">
        <f>'1.1รวมยาทั้งหมด(1+2+3+4)'!J12+'2.รวมวชย ทุกประเภท'!J12</f>
        <v>23699.97</v>
      </c>
      <c r="K12" s="183">
        <f>'1.1รวมยาทั้งหมด(1+2+3+4)'!K12+'2.รวมวชย ทุกประเภท'!K12</f>
        <v>0</v>
      </c>
      <c r="L12" s="183">
        <f>'1.1รวมยาทั้งหมด(1+2+3+4)'!L12+'2.รวมวชย ทุกประเภท'!L12</f>
        <v>0</v>
      </c>
      <c r="M12" s="183">
        <f>'1.1รวมยาทั้งหมด(1+2+3+4)'!M12+'2.รวมวชย ทุกประเภท'!M12</f>
        <v>0</v>
      </c>
      <c r="N12" s="183">
        <f>'1.1รวมยาทั้งหมด(1+2+3+4)'!N12+'2.รวมวชย ทุกประเภท'!N12</f>
        <v>0</v>
      </c>
      <c r="O12" s="221">
        <f t="shared" si="1"/>
        <v>273937.06</v>
      </c>
      <c r="P12" s="312">
        <f t="shared" si="0"/>
        <v>8.4189490800181774E-2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496</v>
      </c>
      <c r="D13" s="183">
        <f>'1.1รวมยาทั้งหมด(1+2+3+4)'!D13+'2.รวมวชย ทุกประเภท'!D13</f>
        <v>26843.43</v>
      </c>
      <c r="E13" s="183">
        <f>'1.1รวมยาทั้งหมด(1+2+3+4)'!E13+'2.รวมวชย ทุกประเภท'!E13</f>
        <v>8617.66</v>
      </c>
      <c r="F13" s="183">
        <f>'1.1รวมยาทั้งหมด(1+2+3+4)'!F13+'2.รวมวชย ทุกประเภท'!F13</f>
        <v>2850</v>
      </c>
      <c r="G13" s="183">
        <f>'1.1รวมยาทั้งหมด(1+2+3+4)'!G13+'2.รวมวชย ทุกประเภท'!G13</f>
        <v>14784.96</v>
      </c>
      <c r="H13" s="183">
        <f>'1.1รวมยาทั้งหมด(1+2+3+4)'!H13+'2.รวมวชย ทุกประเภท'!H13</f>
        <v>15043.24</v>
      </c>
      <c r="I13" s="183">
        <f>'1.1รวมยาทั้งหมด(1+2+3+4)'!I13+'2.รวมวชย ทุกประเภท'!I13</f>
        <v>15752.54</v>
      </c>
      <c r="J13" s="183">
        <f>'1.1รวมยาทั้งหมด(1+2+3+4)'!J13+'2.รวมวชย ทุกประเภท'!J13</f>
        <v>13456.75</v>
      </c>
      <c r="K13" s="183">
        <f>'1.1รวมยาทั้งหมด(1+2+3+4)'!K13+'2.รวมวชย ทุกประเภท'!K13</f>
        <v>0</v>
      </c>
      <c r="L13" s="183">
        <f>'1.1รวมยาทั้งหมด(1+2+3+4)'!L13+'2.รวมวชย ทุกประเภท'!L13</f>
        <v>0</v>
      </c>
      <c r="M13" s="183">
        <f>'1.1รวมยาทั้งหมด(1+2+3+4)'!M13+'2.รวมวชย ทุกประเภท'!M13</f>
        <v>0</v>
      </c>
      <c r="N13" s="183">
        <f>'1.1รวมยาทั้งหมด(1+2+3+4)'!N13+'2.รวมวชย ทุกประเภท'!N13</f>
        <v>0</v>
      </c>
      <c r="O13" s="221">
        <f t="shared" si="1"/>
        <v>97844.579999999987</v>
      </c>
      <c r="P13" s="312">
        <f t="shared" si="0"/>
        <v>3.0070722697241654E-2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0</v>
      </c>
      <c r="D14" s="183">
        <f>'1.1รวมยาทั้งหมด(1+2+3+4)'!D14+'2.รวมวชย ทุกประเภท'!D14</f>
        <v>27858.489999999998</v>
      </c>
      <c r="E14" s="183">
        <f>'1.1รวมยาทั้งหมด(1+2+3+4)'!E14+'2.รวมวชย ทุกประเภท'!E14</f>
        <v>13737.43</v>
      </c>
      <c r="F14" s="183">
        <f>'1.1รวมยาทั้งหมด(1+2+3+4)'!F14+'2.รวมวชย ทุกประเภท'!F14</f>
        <v>7410.25</v>
      </c>
      <c r="G14" s="183">
        <f>'1.1รวมยาทั้งหมด(1+2+3+4)'!G14+'2.รวมวชย ทุกประเภท'!G14</f>
        <v>10043.65</v>
      </c>
      <c r="H14" s="183">
        <f>'1.1รวมยาทั้งหมด(1+2+3+4)'!H14+'2.รวมวชย ทุกประเภท'!H14</f>
        <v>4358.6399999999994</v>
      </c>
      <c r="I14" s="183">
        <f>'1.1รวมยาทั้งหมด(1+2+3+4)'!I14+'2.รวมวชย ทุกประเภท'!I14</f>
        <v>20627.05</v>
      </c>
      <c r="J14" s="183">
        <f>'1.1รวมยาทั้งหมด(1+2+3+4)'!J14+'2.รวมวชย ทุกประเภท'!J14</f>
        <v>7129.4400000000005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0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91164.95</v>
      </c>
      <c r="P14" s="312">
        <f t="shared" si="0"/>
        <v>2.8017861910776262E-2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18008.09</v>
      </c>
      <c r="D15" s="183">
        <f>'1.1รวมยาทั้งหมด(1+2+3+4)'!D15+'2.รวมวชย ทุกประเภท'!D15</f>
        <v>9449.98</v>
      </c>
      <c r="E15" s="183">
        <f>'1.1รวมยาทั้งหมด(1+2+3+4)'!E15+'2.รวมวชย ทุกประเภท'!E15</f>
        <v>35705.15</v>
      </c>
      <c r="F15" s="183">
        <f>'1.1รวมยาทั้งหมด(1+2+3+4)'!F15+'2.รวมวชย ทุกประเภท'!F15</f>
        <v>9825.92</v>
      </c>
      <c r="G15" s="183">
        <f>'1.1รวมยาทั้งหมด(1+2+3+4)'!G15+'2.รวมวชย ทุกประเภท'!G15</f>
        <v>14982.919999999998</v>
      </c>
      <c r="H15" s="183">
        <f>'1.1รวมยาทั้งหมด(1+2+3+4)'!H15+'2.รวมวชย ทุกประเภท'!H15</f>
        <v>12677</v>
      </c>
      <c r="I15" s="183">
        <f>'1.1รวมยาทั้งหมด(1+2+3+4)'!I15+'2.รวมวชย ทุกประเภท'!I15</f>
        <v>31216.2</v>
      </c>
      <c r="J15" s="183">
        <f>'1.1รวมยาทั้งหมด(1+2+3+4)'!J15+'2.รวมวชย ทุกประเภท'!J15</f>
        <v>11110</v>
      </c>
      <c r="K15" s="183">
        <f>'1.1รวมยาทั้งหมด(1+2+3+4)'!K15+'2.รวมวชย ทุกประเภท'!K15</f>
        <v>0</v>
      </c>
      <c r="L15" s="183">
        <f>'1.1รวมยาทั้งหมด(1+2+3+4)'!L15+'2.รวมวชย ทุกประเภท'!L15</f>
        <v>0</v>
      </c>
      <c r="M15" s="183">
        <f>'1.1รวมยาทั้งหมด(1+2+3+4)'!M15+'2.รวมวชย ทุกประเภท'!M15</f>
        <v>0</v>
      </c>
      <c r="N15" s="183">
        <f>'1.1รวมยาทั้งหมด(1+2+3+4)'!N15+'2.รวมวชย ทุกประเภท'!N15</f>
        <v>0</v>
      </c>
      <c r="O15" s="221">
        <f t="shared" si="1"/>
        <v>142975.26</v>
      </c>
      <c r="P15" s="312">
        <f t="shared" si="0"/>
        <v>4.3940802812235766E-2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11294.54</v>
      </c>
      <c r="D16" s="183">
        <f>'1.1รวมยาทั้งหมด(1+2+3+4)'!D16+'2.รวมวชย ทุกประเภท'!D16</f>
        <v>9350.89</v>
      </c>
      <c r="E16" s="183">
        <f>'1.1รวมยาทั้งหมด(1+2+3+4)'!E16+'2.รวมวชย ทุกประเภท'!E16</f>
        <v>7911</v>
      </c>
      <c r="F16" s="183">
        <f>'1.1รวมยาทั้งหมด(1+2+3+4)'!F16+'2.รวมวชย ทุกประเภท'!F16</f>
        <v>9539</v>
      </c>
      <c r="G16" s="183">
        <f>'1.1รวมยาทั้งหมด(1+2+3+4)'!G16+'2.รวมวชย ทุกประเภท'!G16</f>
        <v>11155.24</v>
      </c>
      <c r="H16" s="183">
        <f>'1.1รวมยาทั้งหมด(1+2+3+4)'!H16+'2.รวมวชย ทุกประเภท'!H16</f>
        <v>9695.619999999999</v>
      </c>
      <c r="I16" s="183">
        <f>'1.1รวมยาทั้งหมด(1+2+3+4)'!I16+'2.รวมวชย ทุกประเภท'!I16</f>
        <v>16249.15</v>
      </c>
      <c r="J16" s="183">
        <f>'1.1รวมยาทั้งหมด(1+2+3+4)'!J16+'2.รวมวชย ทุกประเภท'!J16</f>
        <v>8295.48</v>
      </c>
      <c r="K16" s="183">
        <f>'1.1รวมยาทั้งหมด(1+2+3+4)'!K16+'2.รวมวชย ทุกประเภท'!K16</f>
        <v>0</v>
      </c>
      <c r="L16" s="183">
        <f>'1.1รวมยาทั้งหมด(1+2+3+4)'!L16+'2.รวมวชย ทุกประเภท'!L16</f>
        <v>0</v>
      </c>
      <c r="M16" s="183">
        <f>'1.1รวมยาทั้งหมด(1+2+3+4)'!M16+'2.รวมวชย ทุกประเภท'!M16</f>
        <v>0</v>
      </c>
      <c r="N16" s="183">
        <f>'1.1รวมยาทั้งหมด(1+2+3+4)'!N16+'2.รวมวชย ทุกประเภท'!N16</f>
        <v>0</v>
      </c>
      <c r="O16" s="221">
        <f t="shared" si="1"/>
        <v>83490.919999999984</v>
      </c>
      <c r="P16" s="312">
        <f t="shared" si="0"/>
        <v>2.5659390668932167E-2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14508.24</v>
      </c>
      <c r="D17" s="183">
        <f>'1.1รวมยาทั้งหมด(1+2+3+4)'!D17+'2.รวมวชย ทุกประเภท'!D17</f>
        <v>14373.650000000001</v>
      </c>
      <c r="E17" s="183">
        <f>'1.1รวมยาทั้งหมด(1+2+3+4)'!E17+'2.รวมวชย ทุกประเภท'!E17</f>
        <v>8327.02</v>
      </c>
      <c r="F17" s="183">
        <f>'1.1รวมยาทั้งหมด(1+2+3+4)'!F17+'2.รวมวชย ทุกประเภท'!F17</f>
        <v>14331.05</v>
      </c>
      <c r="G17" s="183">
        <f>'1.1รวมยาทั้งหมด(1+2+3+4)'!G17+'2.รวมวชย ทุกประเภท'!G17</f>
        <v>21861.61</v>
      </c>
      <c r="H17" s="183">
        <f>'1.1รวมยาทั้งหมด(1+2+3+4)'!H17+'2.รวมวชย ทุกประเภท'!H17</f>
        <v>24426.92</v>
      </c>
      <c r="I17" s="183">
        <f>'1.1รวมยาทั้งหมด(1+2+3+4)'!I17+'2.รวมวชย ทุกประเภท'!I17</f>
        <v>18559.169999999998</v>
      </c>
      <c r="J17" s="183">
        <f>'1.1รวมยาทั้งหมด(1+2+3+4)'!J17+'2.รวมวชย ทุกประเภท'!J17</f>
        <v>13604.619999999999</v>
      </c>
      <c r="K17" s="183">
        <f>'1.1รวมยาทั้งหมด(1+2+3+4)'!K17+'2.รวมวชย ทุกประเภท'!K17</f>
        <v>0</v>
      </c>
      <c r="L17" s="183">
        <f>'1.1รวมยาทั้งหมด(1+2+3+4)'!L17+'2.รวมวชย ทุกประเภท'!L17</f>
        <v>0</v>
      </c>
      <c r="M17" s="183">
        <f>'1.1รวมยาทั้งหมด(1+2+3+4)'!M17+'2.รวมวชย ทุกประเภท'!M17</f>
        <v>0</v>
      </c>
      <c r="N17" s="183">
        <f>'1.1รวมยาทั้งหมด(1+2+3+4)'!N17+'2.รวมวชย ทุกประเภท'!N17</f>
        <v>0</v>
      </c>
      <c r="O17" s="221">
        <f t="shared" si="1"/>
        <v>129992.28</v>
      </c>
      <c r="P17" s="312">
        <f t="shared" si="0"/>
        <v>3.9950723940582022E-2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11387.16</v>
      </c>
      <c r="D18" s="183">
        <f>'1.1รวมยาทั้งหมด(1+2+3+4)'!D18+'2.รวมวชย ทุกประเภท'!D18</f>
        <v>6043.19</v>
      </c>
      <c r="E18" s="183">
        <f>'1.1รวมยาทั้งหมด(1+2+3+4)'!E18+'2.รวมวชย ทุกประเภท'!E18</f>
        <v>5904.66</v>
      </c>
      <c r="F18" s="183">
        <f>'1.1รวมยาทั้งหมด(1+2+3+4)'!F18+'2.รวมวชย ทุกประเภท'!F18</f>
        <v>4928.6499999999996</v>
      </c>
      <c r="G18" s="183">
        <f>'1.1รวมยาทั้งหมด(1+2+3+4)'!G18+'2.รวมวชย ทุกประเภท'!G18</f>
        <v>16796.89</v>
      </c>
      <c r="H18" s="183">
        <f>'1.1รวมยาทั้งหมด(1+2+3+4)'!H18+'2.รวมวชย ทุกประเภท'!H18</f>
        <v>845</v>
      </c>
      <c r="I18" s="183">
        <f>'1.1รวมยาทั้งหมด(1+2+3+4)'!I18+'2.รวมวชย ทุกประเภท'!I18</f>
        <v>10364.040000000001</v>
      </c>
      <c r="J18" s="183">
        <f>'1.1รวมยาทั้งหมด(1+2+3+4)'!J18+'2.รวมวชย ทุกประเภท'!J18</f>
        <v>10048.75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0</v>
      </c>
      <c r="M18" s="183">
        <f>'1.1รวมยาทั้งหมด(1+2+3+4)'!M18+'2.รวมวชย ทุกประเภท'!M18</f>
        <v>0</v>
      </c>
      <c r="N18" s="183">
        <f>'1.1รวมยาทั้งหมด(1+2+3+4)'!N18+'2.รวมวชย ทุกประเภท'!N18</f>
        <v>0</v>
      </c>
      <c r="O18" s="221">
        <f t="shared" si="1"/>
        <v>66318.34</v>
      </c>
      <c r="P18" s="312">
        <f t="shared" si="0"/>
        <v>2.0381715695252503E-2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53743.519999999997</v>
      </c>
      <c r="D19" s="183">
        <f>'1.1รวมยาทั้งหมด(1+2+3+4)'!D19+'2.รวมวชย ทุกประเภท'!D19</f>
        <v>25808.71</v>
      </c>
      <c r="E19" s="183">
        <f>'1.1รวมยาทั้งหมด(1+2+3+4)'!E19+'2.รวมวชย ทุกประเภท'!E19</f>
        <v>14813.64</v>
      </c>
      <c r="F19" s="183">
        <f>'1.1รวมยาทั้งหมด(1+2+3+4)'!F19+'2.รวมวชย ทุกประเภท'!F19</f>
        <v>15568</v>
      </c>
      <c r="G19" s="183">
        <f>'1.1รวมยาทั้งหมด(1+2+3+4)'!G19+'2.รวมวชย ทุกประเภท'!G19</f>
        <v>6954.36</v>
      </c>
      <c r="H19" s="183">
        <f>'1.1รวมยาทั้งหมด(1+2+3+4)'!H19+'2.รวมวชย ทุกประเภท'!H19</f>
        <v>55158.54</v>
      </c>
      <c r="I19" s="183">
        <f>'1.1รวมยาทั้งหมด(1+2+3+4)'!I19+'2.รวมวชย ทุกประเภท'!I19</f>
        <v>14424.29</v>
      </c>
      <c r="J19" s="183">
        <f>'1.1รวมยาทั้งหมด(1+2+3+4)'!J19+'2.รวมวชย ทุกประเภท'!J19</f>
        <v>22289.42</v>
      </c>
      <c r="K19" s="183">
        <f>'1.1รวมยาทั้งหมด(1+2+3+4)'!K19+'2.รวมวชย ทุกประเภท'!K19</f>
        <v>0</v>
      </c>
      <c r="L19" s="183">
        <f>'1.1รวมยาทั้งหมด(1+2+3+4)'!L19+'2.รวมวชย ทุกประเภท'!L19</f>
        <v>0</v>
      </c>
      <c r="M19" s="183">
        <f>'1.1รวมยาทั้งหมด(1+2+3+4)'!M19+'2.รวมวชย ทุกประเภท'!M19</f>
        <v>0</v>
      </c>
      <c r="N19" s="183">
        <f>'1.1รวมยาทั้งหมด(1+2+3+4)'!N19+'2.รวมวชย ทุกประเภท'!N19</f>
        <v>0</v>
      </c>
      <c r="O19" s="221">
        <f t="shared" si="1"/>
        <v>208760.47999999998</v>
      </c>
      <c r="P19" s="312">
        <f t="shared" si="0"/>
        <v>6.4158673931893437E-2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31733.489999999998</v>
      </c>
      <c r="E20" s="183">
        <f>'1.1รวมยาทั้งหมด(1+2+3+4)'!E20+'2.รวมวชย ทุกประเภท'!E20</f>
        <v>10720.05</v>
      </c>
      <c r="F20" s="183">
        <f>'1.1รวมยาทั้งหมด(1+2+3+4)'!F20+'2.รวมวชย ทุกประเภท'!F20</f>
        <v>5297.5</v>
      </c>
      <c r="G20" s="183">
        <f>'1.1รวมยาทั้งหมด(1+2+3+4)'!G20+'2.รวมวชย ทุกประเภท'!G20</f>
        <v>12317.130000000001</v>
      </c>
      <c r="H20" s="183">
        <f>'1.1รวมยาทั้งหมด(1+2+3+4)'!H20+'2.รวมวชย ทุกประเภท'!H20</f>
        <v>7262.8</v>
      </c>
      <c r="I20" s="183">
        <f>'1.1รวมยาทั้งหมด(1+2+3+4)'!I20+'2.รวมวชย ทุกประเภท'!I20</f>
        <v>17266.73</v>
      </c>
      <c r="J20" s="183">
        <f>'1.1รวมยาทั้งหมด(1+2+3+4)'!J20+'2.รวมวชย ทุกประเภท'!J20</f>
        <v>13219.939999999999</v>
      </c>
      <c r="K20" s="183">
        <f>'1.1รวมยาทั้งหมด(1+2+3+4)'!K20+'2.รวมวชย ทุกประเภท'!K20</f>
        <v>0</v>
      </c>
      <c r="L20" s="183">
        <f>'1.1รวมยาทั้งหมด(1+2+3+4)'!L20+'2.รวมวชย ทุกประเภท'!L20</f>
        <v>0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97817.64</v>
      </c>
      <c r="P20" s="312">
        <f t="shared" si="0"/>
        <v>3.0062443186312553E-2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24049.58</v>
      </c>
      <c r="D21" s="183">
        <f>'1.1รวมยาทั้งหมด(1+2+3+4)'!D21+'2.รวมวชย ทุกประเภท'!D21</f>
        <v>18763.379999999997</v>
      </c>
      <c r="E21" s="183">
        <f>'1.1รวมยาทั้งหมด(1+2+3+4)'!E21+'2.รวมวชย ทุกประเภท'!E21</f>
        <v>14589.5</v>
      </c>
      <c r="F21" s="183">
        <f>'1.1รวมยาทั้งหมด(1+2+3+4)'!F21+'2.รวมวชย ทุกประเภท'!F21</f>
        <v>17448.86</v>
      </c>
      <c r="G21" s="183">
        <f>'1.1รวมยาทั้งหมด(1+2+3+4)'!G21+'2.รวมวชย ทุกประเภท'!G21</f>
        <v>16055.94</v>
      </c>
      <c r="H21" s="183">
        <f>'1.1รวมยาทั้งหมด(1+2+3+4)'!H21+'2.รวมวชย ทุกประเภท'!H21</f>
        <v>20825.11</v>
      </c>
      <c r="I21" s="183">
        <f>'1.1รวมยาทั้งหมด(1+2+3+4)'!I21+'2.รวมวชย ทุกประเภท'!I21</f>
        <v>23683.87</v>
      </c>
      <c r="J21" s="183">
        <f>'1.1รวมยาทั้งหมด(1+2+3+4)'!J21+'2.รวมวชย ทุกประเภท'!J21</f>
        <v>22296.959999999999</v>
      </c>
      <c r="K21" s="183">
        <f>'1.1รวมยาทั้งหมด(1+2+3+4)'!K21+'2.รวมวชย ทุกประเภท'!K21</f>
        <v>0</v>
      </c>
      <c r="L21" s="183">
        <f>'1.1รวมยาทั้งหมด(1+2+3+4)'!L21+'2.รวมวชย ทุกประเภท'!L21</f>
        <v>0</v>
      </c>
      <c r="M21" s="183">
        <f>'1.1รวมยาทั้งหมด(1+2+3+4)'!M21+'2.รวมวชย ทุกประเภท'!M21</f>
        <v>0</v>
      </c>
      <c r="N21" s="183">
        <f>'1.1รวมยาทั้งหมด(1+2+3+4)'!N21+'2.รวมวชย ทุกประเภท'!N21</f>
        <v>0</v>
      </c>
      <c r="O21" s="221">
        <f t="shared" si="1"/>
        <v>157713.20000000001</v>
      </c>
      <c r="P21" s="312">
        <f t="shared" si="0"/>
        <v>4.8470236193917063E-2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7582.1</v>
      </c>
      <c r="D22" s="183">
        <f>'1.1รวมยาทั้งหมด(1+2+3+4)'!D22+'2.รวมวชย ทุกประเภท'!D22</f>
        <v>26616.32</v>
      </c>
      <c r="E22" s="183">
        <f>'1.1รวมยาทั้งหมด(1+2+3+4)'!E22+'2.รวมวชย ทุกประเภท'!E22</f>
        <v>0</v>
      </c>
      <c r="F22" s="183">
        <f>'1.1รวมยาทั้งหมด(1+2+3+4)'!F22+'2.รวมวชย ทุกประเภท'!F22</f>
        <v>6846.25</v>
      </c>
      <c r="G22" s="183">
        <f>'1.1รวมยาทั้งหมด(1+2+3+4)'!G22+'2.รวมวชย ทุกประเภท'!G22</f>
        <v>9178.4</v>
      </c>
      <c r="H22" s="183">
        <f>'1.1รวมยาทั้งหมด(1+2+3+4)'!H22+'2.รวมวชย ทุกประเภท'!H22</f>
        <v>7931.52</v>
      </c>
      <c r="I22" s="183">
        <f>'1.1รวมยาทั้งหมด(1+2+3+4)'!I22+'2.รวมวชย ทุกประเภท'!I22</f>
        <v>14424.76</v>
      </c>
      <c r="J22" s="183">
        <f>'1.1รวมยาทั้งหมด(1+2+3+4)'!J22+'2.รวมวชย ทุกประเภท'!J22</f>
        <v>5733.16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0</v>
      </c>
      <c r="M22" s="183">
        <f>'1.1รวมยาทั้งหมด(1+2+3+4)'!M22+'2.รวมวชย ทุกประเภท'!M22</f>
        <v>0</v>
      </c>
      <c r="N22" s="183">
        <f>'1.1รวมยาทั้งหมด(1+2+3+4)'!N22+'2.รวมวชย ทุกประเภท'!N22</f>
        <v>0</v>
      </c>
      <c r="O22" s="221">
        <f t="shared" si="1"/>
        <v>78312.509999999995</v>
      </c>
      <c r="P22" s="312">
        <f t="shared" si="0"/>
        <v>2.4067902094678767E-2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355043.06</v>
      </c>
      <c r="D23" s="188">
        <f t="shared" ref="D23:O23" si="2">SUM(D5:D22)</f>
        <v>483447.83</v>
      </c>
      <c r="E23" s="188">
        <f t="shared" si="2"/>
        <v>410940.14</v>
      </c>
      <c r="F23" s="188">
        <f t="shared" si="2"/>
        <v>300631.58</v>
      </c>
      <c r="G23" s="188">
        <f t="shared" si="2"/>
        <v>441178.93000000005</v>
      </c>
      <c r="H23" s="188">
        <f t="shared" si="2"/>
        <v>396893.56999999995</v>
      </c>
      <c r="I23" s="188">
        <f t="shared" si="2"/>
        <v>500142.97999999992</v>
      </c>
      <c r="J23" s="188">
        <f t="shared" si="2"/>
        <v>365537.29</v>
      </c>
      <c r="K23" s="188">
        <f t="shared" si="2"/>
        <v>0</v>
      </c>
      <c r="L23" s="188">
        <f t="shared" si="2"/>
        <v>0</v>
      </c>
      <c r="M23" s="188">
        <f t="shared" si="2"/>
        <v>0</v>
      </c>
      <c r="N23" s="188">
        <f t="shared" si="2"/>
        <v>0</v>
      </c>
      <c r="O23" s="188">
        <f t="shared" si="2"/>
        <v>3253815.3800000004</v>
      </c>
      <c r="P23" s="313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2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2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3">
        <f t="shared" si="3"/>
        <v>0</v>
      </c>
      <c r="P26" s="317">
        <f t="shared" si="0"/>
        <v>0</v>
      </c>
    </row>
    <row r="27" spans="1:16" s="206" customFormat="1" ht="17.25" customHeight="1" x14ac:dyDescent="0.45">
      <c r="A27" s="202" t="s">
        <v>66</v>
      </c>
      <c r="B27" s="207" t="s">
        <v>25</v>
      </c>
      <c r="C27" s="205">
        <f>C23+C26</f>
        <v>355043.06</v>
      </c>
      <c r="D27" s="205">
        <f t="shared" ref="D27:N27" si="5">D23+D26</f>
        <v>483447.83</v>
      </c>
      <c r="E27" s="205">
        <f t="shared" si="5"/>
        <v>410940.14</v>
      </c>
      <c r="F27" s="205">
        <f t="shared" si="5"/>
        <v>300631.58</v>
      </c>
      <c r="G27" s="205">
        <f t="shared" si="5"/>
        <v>441178.93000000005</v>
      </c>
      <c r="H27" s="205">
        <f t="shared" si="5"/>
        <v>396893.56999999995</v>
      </c>
      <c r="I27" s="205">
        <f t="shared" si="5"/>
        <v>500142.97999999992</v>
      </c>
      <c r="J27" s="205">
        <f t="shared" si="5"/>
        <v>365537.29</v>
      </c>
      <c r="K27" s="205">
        <f t="shared" si="5"/>
        <v>0</v>
      </c>
      <c r="L27" s="205">
        <f t="shared" si="5"/>
        <v>0</v>
      </c>
      <c r="M27" s="205">
        <f t="shared" si="5"/>
        <v>0</v>
      </c>
      <c r="N27" s="205">
        <f t="shared" si="5"/>
        <v>0</v>
      </c>
      <c r="O27" s="205">
        <f>SUM(C27:N27)</f>
        <v>3253815.38</v>
      </c>
      <c r="P27" s="318">
        <f t="shared" si="0"/>
        <v>0.99999999999999989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15%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2020-08-31T04:26:12Z</cp:lastPrinted>
  <dcterms:created xsi:type="dcterms:W3CDTF">2017-10-13T14:25:05Z</dcterms:created>
  <dcterms:modified xsi:type="dcterms:W3CDTF">2021-05-24T08:27:38Z</dcterms:modified>
</cp:coreProperties>
</file>